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drawings/drawing5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6.xml" ContentType="application/vnd.openxmlformats-officedocument.drawing+xml"/>
  <Override PartName="/xl/ctrlProps/ctrlProp9.xml" ContentType="application/vnd.ms-excel.controlproperties+xml"/>
  <Override PartName="/xl/drawings/drawing7.xml" ContentType="application/vnd.openxmlformats-officedocument.drawing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drawings/drawing9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10.xml" ContentType="application/vnd.openxmlformats-officedocument.drawing+xml"/>
  <Override PartName="/xl/ctrlProps/ctrlProp15.xml" ContentType="application/vnd.ms-excel.controlproperties+xml"/>
  <Override PartName="/xl/drawings/drawing11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12.xml" ContentType="application/vnd.openxmlformats-officedocument.drawing+xml"/>
  <Override PartName="/xl/ctrlProps/ctrlProp22.xml" ContentType="application/vnd.ms-excel.controlproperties+xml"/>
  <Override PartName="/xl/drawings/drawing13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1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15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16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17.xml" ContentType="application/vnd.openxmlformats-officedocument.drawing+xml"/>
  <Override PartName="/xl/ctrlProps/ctrlProp36.xml" ContentType="application/vnd.ms-excel.controlproperties+xml"/>
  <Override PartName="/xl/drawings/drawing18.xml" ContentType="application/vnd.openxmlformats-officedocument.drawing+xml"/>
  <Override PartName="/xl/ctrlProps/ctrlProp3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9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365" tabRatio="564"/>
  </bookViews>
  <sheets>
    <sheet name="MAX, MIN, AVERAGE, SUM" sheetId="1" r:id="rId1"/>
    <sheet name="FORMULATEXT" sheetId="21" r:id="rId2"/>
    <sheet name="COUNT dan COUNTA" sheetId="35" r:id="rId3"/>
    <sheet name="NOW dan TODAY" sheetId="14" r:id="rId4"/>
    <sheet name="EDATE dan EOMONTH" sheetId="8" r:id="rId5"/>
    <sheet name="DATE" sheetId="4" r:id="rId6"/>
    <sheet name="DAY" sheetId="5" r:id="rId7"/>
    <sheet name="MONTH" sheetId="6" r:id="rId8"/>
    <sheet name="YEAR" sheetId="7" r:id="rId9"/>
    <sheet name="HOUR" sheetId="10" r:id="rId10"/>
    <sheet name="MINUTE" sheetId="11" r:id="rId11"/>
    <sheet name="SECOND" sheetId="12" r:id="rId12"/>
    <sheet name="TIME" sheetId="13" r:id="rId13"/>
    <sheet name="UPPER, LOWER, PPOPER" sheetId="25" r:id="rId14"/>
    <sheet name="TEXT" sheetId="18" r:id="rId15"/>
    <sheet name="MOD" sheetId="34" r:id="rId16"/>
    <sheet name="CHOOSE" sheetId="22" r:id="rId17"/>
    <sheet name="CONVERT" sheetId="23" r:id="rId18"/>
    <sheet name="PMT dan IPMT" sheetId="29" r:id="rId19"/>
    <sheet name="RATE" sheetId="26" r:id="rId20"/>
    <sheet name="RANK" sheetId="36" r:id="rId21"/>
    <sheet name="MATCH" sheetId="37" r:id="rId22"/>
    <sheet name="OFFSET" sheetId="38" r:id="rId23"/>
    <sheet name="CHIINV" sheetId="33" r:id="rId24"/>
  </sheets>
  <externalReferences>
    <externalReference r:id="rId25"/>
    <externalReference r:id="rId26"/>
  </externalReferences>
  <definedNames>
    <definedName name="__IntlFixup" hidden="1">TRUE</definedName>
    <definedName name="AccessDatabase" hidden="1">"C:\My Documents\MAUI MALL1.mdb"</definedName>
    <definedName name="ACwvu.CapersView." localSheetId="10" hidden="1">[1]MASTER!#REF!</definedName>
    <definedName name="ACwvu.CapersView." localSheetId="15" hidden="1">[1]MASTER!#REF!</definedName>
    <definedName name="ACwvu.CapersView." localSheetId="7" hidden="1">[1]MASTER!#REF!</definedName>
    <definedName name="ACwvu.CapersView." localSheetId="3" hidden="1">[1]MASTER!#REF!</definedName>
    <definedName name="ACwvu.CapersView." localSheetId="20" hidden="1">[1]MASTER!#REF!</definedName>
    <definedName name="ACwvu.CapersView." localSheetId="11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10" hidden="1">#REF!</definedName>
    <definedName name="ACwvu.Japan_Capers_Ed_Pub." localSheetId="15" hidden="1">#REF!</definedName>
    <definedName name="ACwvu.Japan_Capers_Ed_Pub." localSheetId="7" hidden="1">#REF!</definedName>
    <definedName name="ACwvu.Japan_Capers_Ed_Pub." localSheetId="3" hidden="1">#REF!</definedName>
    <definedName name="ACwvu.Japan_Capers_Ed_Pub." localSheetId="20" hidden="1">#REF!</definedName>
    <definedName name="ACwvu.Japan_Capers_Ed_Pub." localSheetId="11" hidden="1">#REF!</definedName>
    <definedName name="ACwvu.Japan_Capers_Ed_Pub." localSheetId="14" hidden="1">#REF!</definedName>
    <definedName name="ACwvu.Japan_Capers_Ed_Pub." localSheetId="8" hidden="1">#REF!</definedName>
    <definedName name="ACwvu.Japan_Capers_Ed_Pub." hidden="1">#REF!</definedName>
    <definedName name="ACwvu.KJP_CC." localSheetId="10" hidden="1">#REF!</definedName>
    <definedName name="ACwvu.KJP_CC." localSheetId="15" hidden="1">#REF!</definedName>
    <definedName name="ACwvu.KJP_CC." localSheetId="7" hidden="1">#REF!</definedName>
    <definedName name="ACwvu.KJP_CC." localSheetId="3" hidden="1">#REF!</definedName>
    <definedName name="ACwvu.KJP_CC." localSheetId="20" hidden="1">#REF!</definedName>
    <definedName name="ACwvu.KJP_CC." localSheetId="11" hidden="1">#REF!</definedName>
    <definedName name="ACwvu.KJP_CC." localSheetId="14" hidden="1">#REF!</definedName>
    <definedName name="ACwvu.KJP_CC." localSheetId="8" hidden="1">#REF!</definedName>
    <definedName name="ACwvu.KJP_CC." hidden="1">#REF!</definedName>
    <definedName name="anscount" localSheetId="23" hidden="1">1</definedName>
    <definedName name="anscount" localSheetId="2" hidden="1">1</definedName>
    <definedName name="anscount" localSheetId="20" hidden="1">4</definedName>
    <definedName name="anscount" hidden="1">4</definedName>
    <definedName name="Cwvu.CapersView." localSheetId="10" hidden="1">[1]MASTER!#REF!</definedName>
    <definedName name="Cwvu.CapersView." localSheetId="15" hidden="1">[1]MASTER!#REF!</definedName>
    <definedName name="Cwvu.CapersView." localSheetId="7" hidden="1">[1]MASTER!#REF!</definedName>
    <definedName name="Cwvu.CapersView." localSheetId="3" hidden="1">[1]MASTER!#REF!</definedName>
    <definedName name="Cwvu.CapersView." localSheetId="20" hidden="1">[1]MASTER!#REF!</definedName>
    <definedName name="Cwvu.CapersView." localSheetId="11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10" hidden="1">[1]MASTER!#REF!</definedName>
    <definedName name="Cwvu.Japan_Capers_Ed_Pub." localSheetId="15" hidden="1">[1]MASTER!#REF!</definedName>
    <definedName name="Cwvu.Japan_Capers_Ed_Pub." localSheetId="7" hidden="1">[1]MASTER!#REF!</definedName>
    <definedName name="Cwvu.Japan_Capers_Ed_Pub." localSheetId="3" hidden="1">[1]MASTER!#REF!</definedName>
    <definedName name="Cwvu.Japan_Capers_Ed_Pub." localSheetId="20" hidden="1">[1]MASTER!#REF!</definedName>
    <definedName name="Cwvu.Japan_Capers_Ed_Pub." localSheetId="11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23" hidden="1">{"'PRODUCTIONCOST SHEET'!$B$3:$G$48"}</definedName>
    <definedName name="HTML_Control" localSheetId="2" hidden="1">{"'PRODUCTIONCOST SHEET'!$B$3:$G$48"}</definedName>
    <definedName name="HTML_Control" localSheetId="5" hidden="1">{"'PRODUCTIONCOST SHEET'!$B$3:$G$48"}</definedName>
    <definedName name="HTML_Control" localSheetId="6" hidden="1">{"'PRODUCTIONCOST SHEET'!$B$3:$G$48"}</definedName>
    <definedName name="HTML_Control" localSheetId="15" hidden="1">{"'PRODUCTIONCOST SHEET'!$B$3:$G$48"}</definedName>
    <definedName name="HTML_Control" localSheetId="7" hidden="1">{"'PRODUCTIONCOST SHEET'!$B$3:$G$48"}</definedName>
    <definedName name="HTML_Control" localSheetId="3" hidden="1">{"'PRODUCTIONCOST SHEET'!$B$3:$G$48"}</definedName>
    <definedName name="HTML_Control" localSheetId="20" hidden="1">{"'PRODUCTIONCOST SHEET'!$B$3:$G$48"}</definedName>
    <definedName name="HTML_Control" localSheetId="14" hidden="1">{"'PRODUCTIONCOST SHEET'!$B$3:$G$48"}</definedName>
    <definedName name="HTML_Control" localSheetId="12" hidden="1">{"'PRODUCTIONCOST SHEET'!$B$3:$G$48"}</definedName>
    <definedName name="HTML_Control" localSheetId="8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localSheetId="23" hidden="1">1</definedName>
    <definedName name="limcount" localSheetId="2" hidden="1">1</definedName>
    <definedName name="limcount" localSheetId="20" hidden="1">3</definedName>
    <definedName name="limcount" hidden="1">3</definedName>
    <definedName name="Rwvu.CapersView." localSheetId="10" hidden="1">#REF!</definedName>
    <definedName name="Rwvu.CapersView." localSheetId="15" hidden="1">#REF!</definedName>
    <definedName name="Rwvu.CapersView." localSheetId="7" hidden="1">#REF!</definedName>
    <definedName name="Rwvu.CapersView." localSheetId="3" hidden="1">#REF!</definedName>
    <definedName name="Rwvu.CapersView." localSheetId="20" hidden="1">#REF!</definedName>
    <definedName name="Rwvu.CapersView." localSheetId="11" hidden="1">#REF!</definedName>
    <definedName name="Rwvu.CapersView." localSheetId="14" hidden="1">#REF!</definedName>
    <definedName name="Rwvu.CapersView." localSheetId="8" hidden="1">#REF!</definedName>
    <definedName name="Rwvu.CapersView." hidden="1">#REF!</definedName>
    <definedName name="Rwvu.Japan_Capers_Ed_Pub." localSheetId="10" hidden="1">#REF!</definedName>
    <definedName name="Rwvu.Japan_Capers_Ed_Pub." localSheetId="15" hidden="1">#REF!</definedName>
    <definedName name="Rwvu.Japan_Capers_Ed_Pub." localSheetId="7" hidden="1">#REF!</definedName>
    <definedName name="Rwvu.Japan_Capers_Ed_Pub." localSheetId="3" hidden="1">#REF!</definedName>
    <definedName name="Rwvu.Japan_Capers_Ed_Pub." localSheetId="20" hidden="1">#REF!</definedName>
    <definedName name="Rwvu.Japan_Capers_Ed_Pub." localSheetId="11" hidden="1">#REF!</definedName>
    <definedName name="Rwvu.Japan_Capers_Ed_Pub." localSheetId="14" hidden="1">#REF!</definedName>
    <definedName name="Rwvu.Japan_Capers_Ed_Pub." localSheetId="8" hidden="1">#REF!</definedName>
    <definedName name="Rwvu.Japan_Capers_Ed_Pub." hidden="1">#REF!</definedName>
    <definedName name="Rwvu.KJP_CC." localSheetId="10" hidden="1">#REF!</definedName>
    <definedName name="Rwvu.KJP_CC." localSheetId="15" hidden="1">#REF!</definedName>
    <definedName name="Rwvu.KJP_CC." localSheetId="7" hidden="1">#REF!</definedName>
    <definedName name="Rwvu.KJP_CC." localSheetId="3" hidden="1">#REF!</definedName>
    <definedName name="Rwvu.KJP_CC." localSheetId="20" hidden="1">#REF!</definedName>
    <definedName name="Rwvu.KJP_CC." localSheetId="11" hidden="1">#REF!</definedName>
    <definedName name="Rwvu.KJP_CC." localSheetId="14" hidden="1">#REF!</definedName>
    <definedName name="Rwvu.KJP_CC." localSheetId="8" hidden="1">#REF!</definedName>
    <definedName name="Rwvu.KJP_CC." hidden="1">#REF!</definedName>
    <definedName name="sencount" localSheetId="23" hidden="1">1</definedName>
    <definedName name="sencount" localSheetId="2" hidden="1">1</definedName>
    <definedName name="sencount" localSheetId="20" hidden="1">3</definedName>
    <definedName name="sencount" hidden="1">3</definedName>
    <definedName name="ss" localSheetId="15" hidden="1">[1]MASTER!#REF!</definedName>
    <definedName name="ss" localSheetId="3" hidden="1">[1]MASTER!#REF!</definedName>
    <definedName name="ss" hidden="1">[1]MASTER!#REF!</definedName>
    <definedName name="Swvu.CapersView." localSheetId="23" hidden="1">[1]MASTER!#REF!</definedName>
    <definedName name="Swvu.CapersView." localSheetId="10" hidden="1">[1]MASTER!#REF!</definedName>
    <definedName name="Swvu.CapersView." localSheetId="15" hidden="1">[1]MASTER!#REF!</definedName>
    <definedName name="Swvu.CapersView." localSheetId="7" hidden="1">[1]MASTER!#REF!</definedName>
    <definedName name="Swvu.CapersView." localSheetId="3" hidden="1">[1]MASTER!#REF!</definedName>
    <definedName name="Swvu.CapersView." localSheetId="20" hidden="1">[1]MASTER!#REF!</definedName>
    <definedName name="Swvu.CapersView." localSheetId="11" hidden="1">[1]MASTER!#REF!</definedName>
    <definedName name="Swvu.CapersView." localSheetId="14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10" hidden="1">#REF!</definedName>
    <definedName name="Swvu.Japan_Capers_Ed_Pub." localSheetId="15" hidden="1">#REF!</definedName>
    <definedName name="Swvu.Japan_Capers_Ed_Pub." localSheetId="7" hidden="1">#REF!</definedName>
    <definedName name="Swvu.Japan_Capers_Ed_Pub." localSheetId="3" hidden="1">#REF!</definedName>
    <definedName name="Swvu.Japan_Capers_Ed_Pub." localSheetId="20" hidden="1">#REF!</definedName>
    <definedName name="Swvu.Japan_Capers_Ed_Pub." localSheetId="11" hidden="1">#REF!</definedName>
    <definedName name="Swvu.Japan_Capers_Ed_Pub." localSheetId="14" hidden="1">#REF!</definedName>
    <definedName name="Swvu.Japan_Capers_Ed_Pub." localSheetId="8" hidden="1">#REF!</definedName>
    <definedName name="Swvu.Japan_Capers_Ed_Pub." hidden="1">#REF!</definedName>
    <definedName name="Swvu.KJP_CC." localSheetId="10" hidden="1">#REF!</definedName>
    <definedName name="Swvu.KJP_CC." localSheetId="15" hidden="1">#REF!</definedName>
    <definedName name="Swvu.KJP_CC." localSheetId="7" hidden="1">#REF!</definedName>
    <definedName name="Swvu.KJP_CC." localSheetId="3" hidden="1">#REF!</definedName>
    <definedName name="Swvu.KJP_CC." localSheetId="20" hidden="1">#REF!</definedName>
    <definedName name="Swvu.KJP_CC." localSheetId="11" hidden="1">#REF!</definedName>
    <definedName name="Swvu.KJP_CC." localSheetId="14" hidden="1">#REF!</definedName>
    <definedName name="Swvu.KJP_CC." localSheetId="8" hidden="1">#REF!</definedName>
    <definedName name="Swvu.KJP_CC." hidden="1">#REF!</definedName>
    <definedName name="Transaksi" localSheetId="0">'MAX, MIN, AVERAGE, SUM'!$D$6:$D$17</definedName>
    <definedName name="trte" localSheetId="23" hidden="1">{#N/A,#N/A,FALSE,"PRJCTED QTRLY $'s"}</definedName>
    <definedName name="trte" localSheetId="16" hidden="1">{#N/A,#N/A,FALSE,"PRJCTED QTRLY $'s"}</definedName>
    <definedName name="trte" localSheetId="2" hidden="1">{#N/A,#N/A,FALSE,"PRJCTED QTRLY $'s"}</definedName>
    <definedName name="trte" localSheetId="1" hidden="1">{#N/A,#N/A,FALSE,"PRJCTED QTRLY $'s"}</definedName>
    <definedName name="trte" localSheetId="15" hidden="1">{#N/A,#N/A,FALSE,"PRJCTED QTRLY $'s"}</definedName>
    <definedName name="trte" localSheetId="3" hidden="1">{#N/A,#N/A,FALSE,"PRJCTED QTRLY $'s"}</definedName>
    <definedName name="trte" localSheetId="22" hidden="1">{#N/A,#N/A,FALSE,"PRJCTED QTRLY $'s"}</definedName>
    <definedName name="trte" localSheetId="20" hidden="1">{#N/A,#N/A,FALSE,"PRJCTED QTRLY $'s"}</definedName>
    <definedName name="trte" hidden="1">{#N/A,#N/A,FALSE,"PRJCTED QTRLY $'s"}</definedName>
    <definedName name="v" localSheetId="3" hidden="1">{"'PRODUCTIONCOST SHEET'!$B$3:$G$48"}</definedName>
    <definedName name="v" hidden="1">{"'PRODUCTIONCOST SHEET'!$B$3:$G$48"}</definedName>
    <definedName name="vvv" localSheetId="23" hidden="1">{"Japan_Capers_Ed_Pub",#N/A,FALSE,"DI 2 YEAR MASTER SCHEDULE"}</definedName>
    <definedName name="vvv" localSheetId="16" hidden="1">{"Japan_Capers_Ed_Pub",#N/A,FALSE,"DI 2 YEAR MASTER SCHEDULE"}</definedName>
    <definedName name="vvv" localSheetId="2" hidden="1">{"Japan_Capers_Ed_Pub",#N/A,FALSE,"DI 2 YEAR MASTER SCHEDULE"}</definedName>
    <definedName name="vvv" localSheetId="1" hidden="1">{"Japan_Capers_Ed_Pub",#N/A,FALSE,"DI 2 YEAR MASTER SCHEDULE"}</definedName>
    <definedName name="vvv" localSheetId="15" hidden="1">{"Japan_Capers_Ed_Pub",#N/A,FALSE,"DI 2 YEAR MASTER SCHEDULE"}</definedName>
    <definedName name="vvv" localSheetId="3" hidden="1">{"Japan_Capers_Ed_Pub",#N/A,FALSE,"DI 2 YEAR MASTER SCHEDULE"}</definedName>
    <definedName name="vvv" localSheetId="22" hidden="1">{"Japan_Capers_Ed_Pub",#N/A,FALSE,"DI 2 YEAR MASTER SCHEDULE"}</definedName>
    <definedName name="vvv" localSheetId="20" hidden="1">{"Japan_Capers_Ed_Pub",#N/A,FALSE,"DI 2 YEAR MASTER SCHEDULE"}</definedName>
    <definedName name="vvv" hidden="1">{"Japan_Capers_Ed_Pub",#N/A,FALSE,"DI 2 YEAR MASTER SCHEDULE"}</definedName>
    <definedName name="vvvv" localSheetId="23" hidden="1">{#N/A,#N/A,FALSE,"PRJCTED MNTHLY QTY's"}</definedName>
    <definedName name="vvvv" localSheetId="16" hidden="1">{#N/A,#N/A,FALSE,"PRJCTED MNTHLY QTY's"}</definedName>
    <definedName name="vvvv" localSheetId="2" hidden="1">{#N/A,#N/A,FALSE,"PRJCTED MNTHLY QTY's"}</definedName>
    <definedName name="vvvv" localSheetId="1" hidden="1">{#N/A,#N/A,FALSE,"PRJCTED MNTHLY QTY's"}</definedName>
    <definedName name="vvvv" localSheetId="15" hidden="1">{#N/A,#N/A,FALSE,"PRJCTED MNTHLY QTY's"}</definedName>
    <definedName name="vvvv" localSheetId="3" hidden="1">{#N/A,#N/A,FALSE,"PRJCTED MNTHLY QTY's"}</definedName>
    <definedName name="vvvv" localSheetId="22" hidden="1">{#N/A,#N/A,FALSE,"PRJCTED MNTHLY QTY's"}</definedName>
    <definedName name="vvvv" localSheetId="20" hidden="1">{#N/A,#N/A,FALSE,"PRJCTED MNTHLY QTY's"}</definedName>
    <definedName name="vvvv" hidden="1">{#N/A,#N/A,FALSE,"PRJCTED MNTHLY QTY's"}</definedName>
    <definedName name="wrn.CapersPlotter." localSheetId="23" hidden="1">{#N/A,#N/A,FALSE,"DI 2 YEAR MASTER SCHEDULE"}</definedName>
    <definedName name="wrn.CapersPlotter." localSheetId="2" hidden="1">{#N/A,#N/A,FALSE,"DI 2 YEAR MASTER SCHEDULE"}</definedName>
    <definedName name="wrn.CapersPlotter." localSheetId="5" hidden="1">{#N/A,#N/A,FALSE,"DI 2 YEAR MASTER SCHEDULE"}</definedName>
    <definedName name="wrn.CapersPlotter." localSheetId="6" hidden="1">{#N/A,#N/A,FALSE,"DI 2 YEAR MASTER SCHEDULE"}</definedName>
    <definedName name="wrn.CapersPlotter." localSheetId="15" hidden="1">{#N/A,#N/A,FALSE,"DI 2 YEAR MASTER SCHEDULE"}</definedName>
    <definedName name="wrn.CapersPlotter." localSheetId="7" hidden="1">{#N/A,#N/A,FALSE,"DI 2 YEAR MASTER SCHEDULE"}</definedName>
    <definedName name="wrn.CapersPlotter." localSheetId="3" hidden="1">{#N/A,#N/A,FALSE,"DI 2 YEAR MASTER SCHEDULE"}</definedName>
    <definedName name="wrn.CapersPlotter." localSheetId="20" hidden="1">{#N/A,#N/A,FALSE,"DI 2 YEAR MASTER SCHEDULE"}</definedName>
    <definedName name="wrn.CapersPlotter." localSheetId="14" hidden="1">{#N/A,#N/A,FALSE,"DI 2 YEAR MASTER SCHEDULE"}</definedName>
    <definedName name="wrn.CapersPlotter." localSheetId="12" hidden="1">{#N/A,#N/A,FALSE,"DI 2 YEAR MASTER SCHEDULE"}</definedName>
    <definedName name="wrn.CapersPlotter." localSheetId="8" hidden="1">{#N/A,#N/A,FALSE,"DI 2 YEAR MASTER SCHEDULE"}</definedName>
    <definedName name="wrn.CapersPlotter." hidden="1">{#N/A,#N/A,FALSE,"DI 2 YEAR MASTER SCHEDULE"}</definedName>
    <definedName name="wrn.Edutainment._.Priority._.List." localSheetId="23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6" hidden="1">{#N/A,#N/A,FALSE,"DI 2 YEAR MASTER SCHEDULE"}</definedName>
    <definedName name="wrn.Edutainment._.Priority._.List." localSheetId="15" hidden="1">{#N/A,#N/A,FALSE,"DI 2 YEAR MASTER SCHEDULE"}</definedName>
    <definedName name="wrn.Edutainment._.Priority._.List." localSheetId="7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20" hidden="1">{#N/A,#N/A,FALSE,"DI 2 YEAR MASTER SCHEDULE"}</definedName>
    <definedName name="wrn.Edutainment._.Priority._.List." localSheetId="14" hidden="1">{#N/A,#N/A,FALSE,"DI 2 YEAR MASTER SCHEDULE"}</definedName>
    <definedName name="wrn.Edutainment._.Priority._.List." localSheetId="12" hidden="1">{#N/A,#N/A,FALSE,"DI 2 YEAR MASTER SCHEDULE"}</definedName>
    <definedName name="wrn.Edutainment._.Priority._.List." localSheetId="8" hidden="1">{#N/A,#N/A,FALSE,"DI 2 YEAR MASTER SCHEDULE"}</definedName>
    <definedName name="wrn.Edutainment._.Priority._.List." hidden="1">{#N/A,#N/A,FALSE,"DI 2 YEAR MASTER SCHEDULE"}</definedName>
    <definedName name="wrn.Japan_Capers_Ed._.Pub." localSheetId="23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localSheetId="5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localSheetId="15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localSheetId="3" hidden="1">{"Japan_Capers_Ed_Pub",#N/A,FALSE,"DI 2 YEAR MASTER SCHEDULE"}</definedName>
    <definedName name="wrn.Japan_Capers_Ed._.Pub." localSheetId="20" hidden="1">{"Japan_Capers_Ed_Pub",#N/A,FALSE,"DI 2 YEAR MASTER SCHEDULE"}</definedName>
    <definedName name="wrn.Japan_Capers_Ed._.Pub." localSheetId="14" hidden="1">{"Japan_Capers_Ed_Pub",#N/A,FALSE,"DI 2 YEAR MASTER SCHEDULE"}</definedName>
    <definedName name="wrn.Japan_Capers_Ed._.Pub." localSheetId="12" hidden="1">{"Japan_Capers_Ed_Pub",#N/A,FALSE,"DI 2 YEAR MASTER SCHEDULE"}</definedName>
    <definedName name="wrn.Japan_Capers_Ed._.Pub." localSheetId="8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23" hidden="1">{#N/A,#N/A,FALSE,"DI 2 YEAR MASTER SCHEDULE"}</definedName>
    <definedName name="wrn.Priority._.list." localSheetId="2" hidden="1">{#N/A,#N/A,FALSE,"DI 2 YEAR MASTER SCHEDULE"}</definedName>
    <definedName name="wrn.Priority._.list." localSheetId="5" hidden="1">{#N/A,#N/A,FALSE,"DI 2 YEAR MASTER SCHEDULE"}</definedName>
    <definedName name="wrn.Priority._.list." localSheetId="6" hidden="1">{#N/A,#N/A,FALSE,"DI 2 YEAR MASTER SCHEDULE"}</definedName>
    <definedName name="wrn.Priority._.list." localSheetId="15" hidden="1">{#N/A,#N/A,FALSE,"DI 2 YEAR MASTER SCHEDULE"}</definedName>
    <definedName name="wrn.Priority._.list." localSheetId="7" hidden="1">{#N/A,#N/A,FALSE,"DI 2 YEAR MASTER SCHEDULE"}</definedName>
    <definedName name="wrn.Priority._.list." localSheetId="3" hidden="1">{#N/A,#N/A,FALSE,"DI 2 YEAR MASTER SCHEDULE"}</definedName>
    <definedName name="wrn.Priority._.list." localSheetId="20" hidden="1">{#N/A,#N/A,FALSE,"DI 2 YEAR MASTER SCHEDULE"}</definedName>
    <definedName name="wrn.Priority._.list." localSheetId="14" hidden="1">{#N/A,#N/A,FALSE,"DI 2 YEAR MASTER SCHEDULE"}</definedName>
    <definedName name="wrn.Priority._.list." localSheetId="12" hidden="1">{#N/A,#N/A,FALSE,"DI 2 YEAR MASTER SCHEDULE"}</definedName>
    <definedName name="wrn.Priority._.list." localSheetId="8" hidden="1">{#N/A,#N/A,FALSE,"DI 2 YEAR MASTER SCHEDULE"}</definedName>
    <definedName name="wrn.Priority._.list." hidden="1">{#N/A,#N/A,FALSE,"DI 2 YEAR MASTER SCHEDULE"}</definedName>
    <definedName name="wrn.Prjcted._.Mnthly._.Qtys." localSheetId="23" hidden="1">{#N/A,#N/A,FALSE,"PRJCTED MNTHLY QTY's"}</definedName>
    <definedName name="wrn.Prjcted._.Mnthly._.Qtys." localSheetId="2" hidden="1">{#N/A,#N/A,FALSE,"PRJCTED MNTHLY QTY's"}</definedName>
    <definedName name="wrn.Prjcted._.Mnthly._.Qtys." localSheetId="5" hidden="1">{#N/A,#N/A,FALSE,"PRJCTED MNTHLY QTY's"}</definedName>
    <definedName name="wrn.Prjcted._.Mnthly._.Qtys." localSheetId="6" hidden="1">{#N/A,#N/A,FALSE,"PRJCTED MNTHLY QTY's"}</definedName>
    <definedName name="wrn.Prjcted._.Mnthly._.Qtys." localSheetId="15" hidden="1">{#N/A,#N/A,FALSE,"PRJCTED MNTHLY QTY's"}</definedName>
    <definedName name="wrn.Prjcted._.Mnthly._.Qtys." localSheetId="7" hidden="1">{#N/A,#N/A,FALSE,"PRJCTED MNTHLY QTY's"}</definedName>
    <definedName name="wrn.Prjcted._.Mnthly._.Qtys." localSheetId="3" hidden="1">{#N/A,#N/A,FALSE,"PRJCTED MNTHLY QTY's"}</definedName>
    <definedName name="wrn.Prjcted._.Mnthly._.Qtys." localSheetId="20" hidden="1">{#N/A,#N/A,FALSE,"PRJCTED MNTHLY QTY's"}</definedName>
    <definedName name="wrn.Prjcted._.Mnthly._.Qtys." localSheetId="14" hidden="1">{#N/A,#N/A,FALSE,"PRJCTED MNTHLY QTY's"}</definedName>
    <definedName name="wrn.Prjcted._.Mnthly._.Qtys." localSheetId="12" hidden="1">{#N/A,#N/A,FALSE,"PRJCTED MNTHLY QTY's"}</definedName>
    <definedName name="wrn.Prjcted._.Mnthly._.Qtys." localSheetId="8" hidden="1">{#N/A,#N/A,FALSE,"PRJCTED MNTHLY QTY's"}</definedName>
    <definedName name="wrn.Prjcted._.Mnthly._.Qtys." hidden="1">{#N/A,#N/A,FALSE,"PRJCTED MNTHLY QTY's"}</definedName>
    <definedName name="wrn.Prjcted._.Qtrly._.Dollars." localSheetId="23" hidden="1">{#N/A,#N/A,FALSE,"PRJCTED QTRLY $'s"}</definedName>
    <definedName name="wrn.Prjcted._.Qtrly._.Dollars." localSheetId="2" hidden="1">{#N/A,#N/A,FALSE,"PRJCTED QTRLY $'s"}</definedName>
    <definedName name="wrn.Prjcted._.Qtrly._.Dollars." localSheetId="5" hidden="1">{#N/A,#N/A,FALSE,"PRJCTED QTRLY $'s"}</definedName>
    <definedName name="wrn.Prjcted._.Qtrly._.Dollars." localSheetId="6" hidden="1">{#N/A,#N/A,FALSE,"PRJCTED QTRLY $'s"}</definedName>
    <definedName name="wrn.Prjcted._.Qtrly._.Dollars." localSheetId="15" hidden="1">{#N/A,#N/A,FALSE,"PRJCTED QTRLY $'s"}</definedName>
    <definedName name="wrn.Prjcted._.Qtrly._.Dollars." localSheetId="7" hidden="1">{#N/A,#N/A,FALSE,"PRJCTED QTRLY $'s"}</definedName>
    <definedName name="wrn.Prjcted._.Qtrly._.Dollars." localSheetId="3" hidden="1">{#N/A,#N/A,FALSE,"PRJCTED QTRLY $'s"}</definedName>
    <definedName name="wrn.Prjcted._.Qtrly._.Dollars." localSheetId="20" hidden="1">{#N/A,#N/A,FALSE,"PRJCTED QTRLY $'s"}</definedName>
    <definedName name="wrn.Prjcted._.Qtrly._.Dollars." localSheetId="14" hidden="1">{#N/A,#N/A,FALSE,"PRJCTED QTRLY $'s"}</definedName>
    <definedName name="wrn.Prjcted._.Qtrly._.Dollars." localSheetId="12" hidden="1">{#N/A,#N/A,FALSE,"PRJCTED QTRLY $'s"}</definedName>
    <definedName name="wrn.Prjcted._.Qtrly._.Dollars." localSheetId="8" hidden="1">{#N/A,#N/A,FALSE,"PRJCTED QTRLY $'s"}</definedName>
    <definedName name="wrn.Prjcted._.Qtrly._.Dollars." hidden="1">{#N/A,#N/A,FALSE,"PRJCTED QTRLY $'s"}</definedName>
    <definedName name="wrn.Prjcted._.Qtrly._.Qtys." localSheetId="23" hidden="1">{#N/A,#N/A,FALSE,"PRJCTED QTRLY QTY's"}</definedName>
    <definedName name="wrn.Prjcted._.Qtrly._.Qtys." localSheetId="2" hidden="1">{#N/A,#N/A,FALSE,"PRJCTED QTRLY QTY's"}</definedName>
    <definedName name="wrn.Prjcted._.Qtrly._.Qtys." localSheetId="5" hidden="1">{#N/A,#N/A,FALSE,"PRJCTED QTRLY QTY's"}</definedName>
    <definedName name="wrn.Prjcted._.Qtrly._.Qtys." localSheetId="6" hidden="1">{#N/A,#N/A,FALSE,"PRJCTED QTRLY QTY's"}</definedName>
    <definedName name="wrn.Prjcted._.Qtrly._.Qtys." localSheetId="15" hidden="1">{#N/A,#N/A,FALSE,"PRJCTED QTRLY QTY's"}</definedName>
    <definedName name="wrn.Prjcted._.Qtrly._.Qtys." localSheetId="7" hidden="1">{#N/A,#N/A,FALSE,"PRJCTED QTRLY QTY's"}</definedName>
    <definedName name="wrn.Prjcted._.Qtrly._.Qtys." localSheetId="3" hidden="1">{#N/A,#N/A,FALSE,"PRJCTED QTRLY QTY's"}</definedName>
    <definedName name="wrn.Prjcted._.Qtrly._.Qtys." localSheetId="20" hidden="1">{#N/A,#N/A,FALSE,"PRJCTED QTRLY QTY's"}</definedName>
    <definedName name="wrn.Prjcted._.Qtrly._.Qtys." localSheetId="14" hidden="1">{#N/A,#N/A,FALSE,"PRJCTED QTRLY QTY's"}</definedName>
    <definedName name="wrn.Prjcted._.Qtrly._.Qtys." localSheetId="12" hidden="1">{#N/A,#N/A,FALSE,"PRJCTED QTRLY QTY's"}</definedName>
    <definedName name="wrn.Prjcted._.Qtrly._.Qtys." localSheetId="8" hidden="1">{#N/A,#N/A,FALSE,"PRJCTED QTRLY QTY's"}</definedName>
    <definedName name="wrn.Prjcted._.Qtrly._.Qtys." hidden="1">{#N/A,#N/A,FALSE,"PRJCTED QTRLY QTY's"}</definedName>
    <definedName name="wvu.CapersView." localSheetId="2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2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2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2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1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[2]lookup_trend!$D$2:$D$14</definedName>
    <definedName name="XXX" localSheetId="23" hidden="1">{"'PRODUCTIONCOST SHEET'!$B$3:$G$48"}</definedName>
    <definedName name="XXX" localSheetId="2" hidden="1">{"'PRODUCTIONCOST SHEET'!$B$3:$G$48"}</definedName>
    <definedName name="XXX" localSheetId="15" hidden="1">{"'PRODUCTIONCOST SHEET'!$B$3:$G$48"}</definedName>
    <definedName name="XXX" localSheetId="3" hidden="1">{"'PRODUCTIONCOST SHEET'!$B$3:$G$48"}</definedName>
    <definedName name="XXX" localSheetId="20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10" hidden="1">#REF!</definedName>
    <definedName name="Z_9A428CE1_B4D9_11D0_A8AA_0000C071AEE7_.wvu.PrintArea" localSheetId="15" hidden="1">#REF!</definedName>
    <definedName name="Z_9A428CE1_B4D9_11D0_A8AA_0000C071AEE7_.wvu.PrintArea" localSheetId="7" hidden="1">#REF!</definedName>
    <definedName name="Z_9A428CE1_B4D9_11D0_A8AA_0000C071AEE7_.wvu.PrintArea" localSheetId="3" hidden="1">#REF!</definedName>
    <definedName name="Z_9A428CE1_B4D9_11D0_A8AA_0000C071AEE7_.wvu.PrintArea" localSheetId="20" hidden="1">#REF!</definedName>
    <definedName name="Z_9A428CE1_B4D9_11D0_A8AA_0000C071AEE7_.wvu.PrintArea" localSheetId="11" hidden="1">#REF!</definedName>
    <definedName name="Z_9A428CE1_B4D9_11D0_A8AA_0000C071AEE7_.wvu.PrintArea" localSheetId="14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2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38" l="1"/>
  <c r="J12" i="38"/>
  <c r="K11" i="38"/>
  <c r="J11" i="38"/>
  <c r="K10" i="38"/>
  <c r="J10" i="38"/>
  <c r="K9" i="38"/>
  <c r="J9" i="38"/>
  <c r="K8" i="38"/>
  <c r="J8" i="38"/>
  <c r="K7" i="38"/>
  <c r="J7" i="38"/>
  <c r="B6" i="38"/>
  <c r="I12" i="37"/>
  <c r="K12" i="37" s="1"/>
  <c r="L7" i="38"/>
  <c r="K13" i="37"/>
  <c r="E26" i="36" l="1"/>
  <c r="F25" i="36"/>
  <c r="C25" i="36"/>
  <c r="F24" i="36"/>
  <c r="C24" i="36"/>
  <c r="F23" i="36"/>
  <c r="C23" i="36"/>
  <c r="F22" i="36"/>
  <c r="C22" i="36"/>
  <c r="F21" i="36"/>
  <c r="C21" i="36"/>
  <c r="F20" i="36"/>
  <c r="C20" i="36"/>
  <c r="F19" i="36"/>
  <c r="C19" i="36"/>
  <c r="F18" i="36"/>
  <c r="C18" i="36"/>
  <c r="F17" i="36"/>
  <c r="C17" i="36"/>
  <c r="F16" i="36"/>
  <c r="C16" i="36"/>
  <c r="F15" i="36"/>
  <c r="C15" i="36"/>
  <c r="F14" i="36"/>
  <c r="C14" i="36"/>
  <c r="F13" i="36"/>
  <c r="C13" i="36"/>
  <c r="F12" i="36"/>
  <c r="C12" i="36"/>
  <c r="F11" i="36"/>
  <c r="C11" i="36"/>
  <c r="F7" i="36"/>
  <c r="B7" i="36"/>
  <c r="J11" i="35"/>
  <c r="E8" i="35"/>
  <c r="J10" i="35"/>
  <c r="E7" i="35"/>
  <c r="K11" i="35"/>
  <c r="G11" i="36"/>
  <c r="K10" i="35"/>
  <c r="B18" i="29" l="1"/>
  <c r="C16" i="29"/>
  <c r="G13" i="34"/>
  <c r="G12" i="34"/>
  <c r="D10" i="34"/>
  <c r="D9" i="34"/>
  <c r="D14" i="34"/>
  <c r="B15" i="34" s="1"/>
  <c r="D8" i="34"/>
  <c r="C9" i="18"/>
  <c r="G13" i="7"/>
  <c r="H62" i="33"/>
  <c r="G62" i="33"/>
  <c r="F62" i="33"/>
  <c r="E62" i="33"/>
  <c r="D62" i="33"/>
  <c r="C62" i="33"/>
  <c r="H61" i="33"/>
  <c r="G61" i="33"/>
  <c r="F61" i="33"/>
  <c r="E61" i="33"/>
  <c r="D61" i="33"/>
  <c r="C61" i="33"/>
  <c r="H60" i="33"/>
  <c r="G60" i="33"/>
  <c r="F60" i="33"/>
  <c r="E60" i="33"/>
  <c r="D60" i="33"/>
  <c r="C60" i="33"/>
  <c r="H59" i="33"/>
  <c r="G59" i="33"/>
  <c r="F59" i="33"/>
  <c r="E59" i="33"/>
  <c r="D59" i="33"/>
  <c r="C59" i="33"/>
  <c r="H58" i="33"/>
  <c r="G58" i="33"/>
  <c r="F58" i="33"/>
  <c r="E58" i="33"/>
  <c r="D58" i="33"/>
  <c r="C58" i="33"/>
  <c r="H57" i="33"/>
  <c r="G57" i="33"/>
  <c r="F57" i="33"/>
  <c r="E57" i="33"/>
  <c r="D57" i="33"/>
  <c r="C57" i="33"/>
  <c r="H56" i="33"/>
  <c r="G56" i="33"/>
  <c r="F56" i="33"/>
  <c r="E56" i="33"/>
  <c r="D56" i="33"/>
  <c r="C56" i="33"/>
  <c r="H55" i="33"/>
  <c r="G55" i="33"/>
  <c r="F55" i="33"/>
  <c r="E55" i="33"/>
  <c r="D55" i="33"/>
  <c r="C55" i="33"/>
  <c r="H54" i="33"/>
  <c r="G54" i="33"/>
  <c r="F54" i="33"/>
  <c r="E54" i="33"/>
  <c r="D54" i="33"/>
  <c r="C54" i="33"/>
  <c r="H53" i="33"/>
  <c r="G53" i="33"/>
  <c r="F53" i="33"/>
  <c r="E53" i="33"/>
  <c r="D53" i="33"/>
  <c r="C53" i="33"/>
  <c r="H52" i="33"/>
  <c r="G52" i="33"/>
  <c r="F52" i="33"/>
  <c r="E52" i="33"/>
  <c r="D52" i="33"/>
  <c r="C52" i="33"/>
  <c r="H51" i="33"/>
  <c r="G51" i="33"/>
  <c r="F51" i="33"/>
  <c r="E51" i="33"/>
  <c r="D51" i="33"/>
  <c r="C51" i="33"/>
  <c r="H50" i="33"/>
  <c r="G50" i="33"/>
  <c r="F50" i="33"/>
  <c r="E50" i="33"/>
  <c r="D50" i="33"/>
  <c r="C50" i="33"/>
  <c r="H49" i="33"/>
  <c r="G49" i="33"/>
  <c r="F49" i="33"/>
  <c r="E49" i="33"/>
  <c r="D49" i="33"/>
  <c r="C49" i="33"/>
  <c r="H48" i="33"/>
  <c r="G48" i="33"/>
  <c r="F48" i="33"/>
  <c r="E48" i="33"/>
  <c r="D48" i="33"/>
  <c r="C48" i="33"/>
  <c r="H47" i="33"/>
  <c r="G47" i="33"/>
  <c r="F47" i="33"/>
  <c r="E47" i="33"/>
  <c r="D47" i="33"/>
  <c r="C47" i="33"/>
  <c r="H46" i="33"/>
  <c r="G46" i="33"/>
  <c r="F46" i="33"/>
  <c r="E46" i="33"/>
  <c r="D46" i="33"/>
  <c r="C46" i="33"/>
  <c r="H45" i="33"/>
  <c r="G45" i="33"/>
  <c r="F45" i="33"/>
  <c r="E45" i="33"/>
  <c r="D45" i="33"/>
  <c r="C45" i="33"/>
  <c r="H44" i="33"/>
  <c r="G44" i="33"/>
  <c r="F44" i="33"/>
  <c r="E44" i="33"/>
  <c r="D44" i="33"/>
  <c r="C44" i="33"/>
  <c r="H43" i="33"/>
  <c r="G43" i="33"/>
  <c r="F43" i="33"/>
  <c r="E43" i="33"/>
  <c r="D43" i="33"/>
  <c r="C43" i="33"/>
  <c r="H42" i="33"/>
  <c r="G42" i="33"/>
  <c r="F42" i="33"/>
  <c r="E42" i="33"/>
  <c r="D42" i="33"/>
  <c r="C42" i="33"/>
  <c r="H41" i="33"/>
  <c r="G41" i="33"/>
  <c r="F41" i="33"/>
  <c r="E41" i="33"/>
  <c r="D41" i="33"/>
  <c r="C41" i="33"/>
  <c r="H40" i="33"/>
  <c r="G40" i="33"/>
  <c r="F40" i="33"/>
  <c r="E40" i="33"/>
  <c r="D40" i="33"/>
  <c r="C40" i="33"/>
  <c r="H39" i="33"/>
  <c r="G39" i="33"/>
  <c r="F39" i="33"/>
  <c r="E39" i="33"/>
  <c r="D39" i="33"/>
  <c r="C39" i="33"/>
  <c r="H38" i="33"/>
  <c r="G38" i="33"/>
  <c r="F38" i="33"/>
  <c r="E38" i="33"/>
  <c r="D38" i="33"/>
  <c r="C38" i="33"/>
  <c r="H37" i="33"/>
  <c r="G37" i="33"/>
  <c r="F37" i="33"/>
  <c r="E37" i="33"/>
  <c r="D37" i="33"/>
  <c r="C37" i="33"/>
  <c r="H36" i="33"/>
  <c r="G36" i="33"/>
  <c r="F36" i="33"/>
  <c r="E36" i="33"/>
  <c r="D36" i="33"/>
  <c r="C36" i="33"/>
  <c r="H35" i="33"/>
  <c r="G35" i="33"/>
  <c r="F35" i="33"/>
  <c r="E35" i="33"/>
  <c r="D35" i="33"/>
  <c r="C35" i="33"/>
  <c r="H34" i="33"/>
  <c r="G34" i="33"/>
  <c r="F34" i="33"/>
  <c r="E34" i="33"/>
  <c r="D34" i="33"/>
  <c r="C34" i="33"/>
  <c r="H33" i="33"/>
  <c r="G33" i="33"/>
  <c r="F33" i="33"/>
  <c r="E33" i="33"/>
  <c r="D33" i="33"/>
  <c r="C33" i="33"/>
  <c r="H32" i="33"/>
  <c r="G32" i="33"/>
  <c r="F32" i="33"/>
  <c r="E32" i="33"/>
  <c r="D32" i="33"/>
  <c r="C32" i="33"/>
  <c r="H31" i="33"/>
  <c r="G31" i="33"/>
  <c r="F31" i="33"/>
  <c r="E31" i="33"/>
  <c r="D31" i="33"/>
  <c r="C31" i="33"/>
  <c r="H30" i="33"/>
  <c r="G30" i="33"/>
  <c r="F30" i="33"/>
  <c r="E30" i="33"/>
  <c r="D30" i="33"/>
  <c r="C30" i="33"/>
  <c r="H29" i="33"/>
  <c r="G29" i="33"/>
  <c r="F29" i="33"/>
  <c r="E29" i="33"/>
  <c r="D29" i="33"/>
  <c r="C29" i="33"/>
  <c r="H28" i="33"/>
  <c r="G28" i="33"/>
  <c r="F28" i="33"/>
  <c r="E28" i="33"/>
  <c r="D28" i="33"/>
  <c r="C28" i="33"/>
  <c r="H27" i="33"/>
  <c r="G27" i="33"/>
  <c r="F27" i="33"/>
  <c r="E27" i="33"/>
  <c r="D27" i="33"/>
  <c r="C27" i="33"/>
  <c r="H26" i="33"/>
  <c r="G26" i="33"/>
  <c r="F26" i="33"/>
  <c r="E26" i="33"/>
  <c r="D26" i="33"/>
  <c r="C26" i="33"/>
  <c r="H25" i="33"/>
  <c r="G25" i="33"/>
  <c r="F25" i="33"/>
  <c r="E25" i="33"/>
  <c r="D25" i="33"/>
  <c r="C25" i="33"/>
  <c r="H24" i="33"/>
  <c r="G24" i="33"/>
  <c r="F24" i="33"/>
  <c r="E24" i="33"/>
  <c r="D24" i="33"/>
  <c r="C24" i="33"/>
  <c r="H23" i="33"/>
  <c r="G23" i="33"/>
  <c r="F23" i="33"/>
  <c r="E23" i="33"/>
  <c r="D23" i="33"/>
  <c r="C23" i="33"/>
  <c r="H22" i="33"/>
  <c r="G22" i="33"/>
  <c r="F22" i="33"/>
  <c r="E22" i="33"/>
  <c r="D22" i="33"/>
  <c r="C22" i="33"/>
  <c r="H21" i="33"/>
  <c r="G21" i="33"/>
  <c r="F21" i="33"/>
  <c r="E21" i="33"/>
  <c r="D21" i="33"/>
  <c r="C21" i="33"/>
  <c r="H20" i="33"/>
  <c r="G20" i="33"/>
  <c r="F20" i="33"/>
  <c r="E20" i="33"/>
  <c r="D20" i="33"/>
  <c r="C20" i="33"/>
  <c r="H19" i="33"/>
  <c r="G19" i="33"/>
  <c r="F19" i="33"/>
  <c r="E19" i="33"/>
  <c r="D19" i="33"/>
  <c r="C19" i="33"/>
  <c r="H18" i="33"/>
  <c r="G18" i="33"/>
  <c r="F18" i="33"/>
  <c r="E18" i="33"/>
  <c r="D18" i="33"/>
  <c r="C18" i="33"/>
  <c r="N17" i="33"/>
  <c r="H17" i="33"/>
  <c r="G17" i="33"/>
  <c r="F17" i="33"/>
  <c r="E17" i="33"/>
  <c r="D17" i="33"/>
  <c r="C17" i="33"/>
  <c r="N16" i="33"/>
  <c r="H16" i="33"/>
  <c r="G16" i="33"/>
  <c r="F16" i="33"/>
  <c r="E16" i="33"/>
  <c r="D16" i="33"/>
  <c r="C16" i="33"/>
  <c r="N15" i="33"/>
  <c r="H15" i="33"/>
  <c r="G15" i="33"/>
  <c r="F15" i="33"/>
  <c r="E15" i="33"/>
  <c r="D15" i="33"/>
  <c r="C15" i="33"/>
  <c r="N14" i="33"/>
  <c r="H14" i="33"/>
  <c r="G14" i="33"/>
  <c r="F14" i="33"/>
  <c r="E14" i="33"/>
  <c r="D14" i="33"/>
  <c r="C14" i="33"/>
  <c r="N13" i="33"/>
  <c r="H13" i="33"/>
  <c r="G13" i="33"/>
  <c r="F13" i="33"/>
  <c r="E13" i="33"/>
  <c r="D13" i="33"/>
  <c r="C13" i="33"/>
  <c r="N12" i="33"/>
  <c r="E9" i="33"/>
  <c r="E7" i="33"/>
  <c r="E14" i="34"/>
  <c r="G7" i="8"/>
  <c r="H12" i="34"/>
  <c r="G8" i="8"/>
  <c r="H13" i="34"/>
  <c r="I13" i="33"/>
  <c r="D18" i="29"/>
  <c r="D9" i="18"/>
  <c r="D19" i="29"/>
  <c r="E8" i="34"/>
  <c r="D12" i="26" l="1"/>
  <c r="D11" i="26"/>
  <c r="I8" i="29"/>
  <c r="G13" i="29" s="1"/>
  <c r="F14" i="29"/>
  <c r="I5" i="29"/>
  <c r="I4" i="29"/>
  <c r="E11" i="26"/>
  <c r="E12" i="26"/>
  <c r="J13" i="29" l="1"/>
  <c r="C15" i="29"/>
  <c r="H13" i="29"/>
  <c r="C14" i="29"/>
  <c r="I7" i="29"/>
  <c r="G14" i="29"/>
  <c r="F15" i="29"/>
  <c r="J14" i="29"/>
  <c r="I14" i="29" l="1"/>
  <c r="K14" i="29" s="1"/>
  <c r="C19" i="29"/>
  <c r="C18" i="29"/>
  <c r="C17" i="29" s="1"/>
  <c r="I13" i="29"/>
  <c r="F16" i="29"/>
  <c r="J15" i="29"/>
  <c r="I15" i="29" s="1"/>
  <c r="K15" i="29" s="1"/>
  <c r="G15" i="29"/>
  <c r="L13" i="29" l="1"/>
  <c r="H14" i="29" s="1"/>
  <c r="L14" i="29" s="1"/>
  <c r="H15" i="29" s="1"/>
  <c r="L15" i="29" s="1"/>
  <c r="H16" i="29" s="1"/>
  <c r="K13" i="29"/>
  <c r="F17" i="29"/>
  <c r="J16" i="29"/>
  <c r="I16" i="29" s="1"/>
  <c r="K16" i="29" s="1"/>
  <c r="G16" i="29"/>
  <c r="L16" i="29" l="1"/>
  <c r="H17" i="29" s="1"/>
  <c r="F18" i="29"/>
  <c r="G17" i="29"/>
  <c r="J17" i="29"/>
  <c r="I17" i="29" s="1"/>
  <c r="L17" i="29" l="1"/>
  <c r="H18" i="29" s="1"/>
  <c r="K17" i="29"/>
  <c r="F19" i="29"/>
  <c r="J18" i="29"/>
  <c r="I18" i="29" s="1"/>
  <c r="K18" i="29" s="1"/>
  <c r="G18" i="29"/>
  <c r="F20" i="29" l="1"/>
  <c r="J19" i="29"/>
  <c r="I19" i="29" s="1"/>
  <c r="K19" i="29" s="1"/>
  <c r="G19" i="29"/>
  <c r="L18" i="29"/>
  <c r="H19" i="29" s="1"/>
  <c r="L19" i="29" l="1"/>
  <c r="H20" i="29" s="1"/>
  <c r="F21" i="29"/>
  <c r="J20" i="29"/>
  <c r="I20" i="29" s="1"/>
  <c r="K20" i="29" s="1"/>
  <c r="G20" i="29"/>
  <c r="F22" i="29" l="1"/>
  <c r="G21" i="29"/>
  <c r="J21" i="29"/>
  <c r="I21" i="29" s="1"/>
  <c r="K21" i="29" s="1"/>
  <c r="L20" i="29"/>
  <c r="H21" i="29" s="1"/>
  <c r="L21" i="29" l="1"/>
  <c r="H22" i="29" s="1"/>
  <c r="F23" i="29"/>
  <c r="J22" i="29"/>
  <c r="I22" i="29" s="1"/>
  <c r="G22" i="29"/>
  <c r="L22" i="29" l="1"/>
  <c r="H23" i="29" s="1"/>
  <c r="K22" i="29"/>
  <c r="F24" i="29"/>
  <c r="J23" i="29"/>
  <c r="I23" i="29" s="1"/>
  <c r="K23" i="29" s="1"/>
  <c r="G23" i="29"/>
  <c r="F25" i="29" l="1"/>
  <c r="J24" i="29"/>
  <c r="I24" i="29" s="1"/>
  <c r="K24" i="29" s="1"/>
  <c r="G24" i="29"/>
  <c r="L23" i="29"/>
  <c r="H24" i="29" s="1"/>
  <c r="L24" i="29" l="1"/>
  <c r="H25" i="29" s="1"/>
  <c r="F26" i="29"/>
  <c r="G25" i="29"/>
  <c r="J25" i="29"/>
  <c r="I25" i="29" s="1"/>
  <c r="K25" i="29" s="1"/>
  <c r="F27" i="29" l="1"/>
  <c r="J26" i="29"/>
  <c r="I26" i="29" s="1"/>
  <c r="K26" i="29" s="1"/>
  <c r="G26" i="29"/>
  <c r="L25" i="29"/>
  <c r="H26" i="29" s="1"/>
  <c r="L26" i="29" l="1"/>
  <c r="H27" i="29" s="1"/>
  <c r="F28" i="29"/>
  <c r="J27" i="29"/>
  <c r="I27" i="29" s="1"/>
  <c r="K27" i="29" s="1"/>
  <c r="G27" i="29"/>
  <c r="F29" i="29" l="1"/>
  <c r="J28" i="29"/>
  <c r="I28" i="29" s="1"/>
  <c r="K28" i="29" s="1"/>
  <c r="G28" i="29"/>
  <c r="L27" i="29"/>
  <c r="H28" i="29" s="1"/>
  <c r="L28" i="29" l="1"/>
  <c r="H29" i="29" s="1"/>
  <c r="F30" i="29"/>
  <c r="G29" i="29"/>
  <c r="J29" i="29"/>
  <c r="I29" i="29" s="1"/>
  <c r="K29" i="29" s="1"/>
  <c r="F31" i="29" l="1"/>
  <c r="J30" i="29"/>
  <c r="I30" i="29" s="1"/>
  <c r="K30" i="29" s="1"/>
  <c r="G30" i="29"/>
  <c r="L29" i="29"/>
  <c r="H30" i="29" s="1"/>
  <c r="L30" i="29" l="1"/>
  <c r="H31" i="29" s="1"/>
  <c r="F32" i="29"/>
  <c r="J31" i="29"/>
  <c r="I31" i="29" s="1"/>
  <c r="K31" i="29" s="1"/>
  <c r="G31" i="29"/>
  <c r="F33" i="29" l="1"/>
  <c r="J32" i="29"/>
  <c r="I32" i="29" s="1"/>
  <c r="K32" i="29" s="1"/>
  <c r="G32" i="29"/>
  <c r="L31" i="29"/>
  <c r="H32" i="29" s="1"/>
  <c r="L32" i="29" l="1"/>
  <c r="H33" i="29" s="1"/>
  <c r="F34" i="29"/>
  <c r="G33" i="29"/>
  <c r="J33" i="29"/>
  <c r="I33" i="29" s="1"/>
  <c r="K33" i="29" s="1"/>
  <c r="F35" i="29" l="1"/>
  <c r="J34" i="29"/>
  <c r="I34" i="29" s="1"/>
  <c r="K34" i="29" s="1"/>
  <c r="G34" i="29"/>
  <c r="L33" i="29"/>
  <c r="H34" i="29" s="1"/>
  <c r="L34" i="29" l="1"/>
  <c r="H35" i="29" s="1"/>
  <c r="F36" i="29"/>
  <c r="J35" i="29"/>
  <c r="I35" i="29" s="1"/>
  <c r="K35" i="29" s="1"/>
  <c r="G35" i="29"/>
  <c r="F37" i="29" l="1"/>
  <c r="J36" i="29"/>
  <c r="I36" i="29" s="1"/>
  <c r="K36" i="29" s="1"/>
  <c r="G36" i="29"/>
  <c r="L35" i="29"/>
  <c r="H36" i="29" s="1"/>
  <c r="L36" i="29" l="1"/>
  <c r="H37" i="29" s="1"/>
  <c r="F38" i="29"/>
  <c r="G37" i="29"/>
  <c r="J37" i="29"/>
  <c r="I37" i="29" s="1"/>
  <c r="K37" i="29" s="1"/>
  <c r="L37" i="29" l="1"/>
  <c r="H38" i="29" s="1"/>
  <c r="F39" i="29"/>
  <c r="J38" i="29"/>
  <c r="I38" i="29" s="1"/>
  <c r="K38" i="29" s="1"/>
  <c r="G38" i="29"/>
  <c r="L38" i="29" l="1"/>
  <c r="H39" i="29" s="1"/>
  <c r="F40" i="29"/>
  <c r="G39" i="29"/>
  <c r="J39" i="29"/>
  <c r="I39" i="29" s="1"/>
  <c r="K39" i="29" s="1"/>
  <c r="L39" i="29" l="1"/>
  <c r="F41" i="29"/>
  <c r="J40" i="29"/>
  <c r="I40" i="29" s="1"/>
  <c r="K40" i="29" s="1"/>
  <c r="G40" i="29"/>
  <c r="H40" i="29"/>
  <c r="L40" i="29" l="1"/>
  <c r="H41" i="29" s="1"/>
  <c r="J41" i="29"/>
  <c r="I41" i="29" s="1"/>
  <c r="K41" i="29" s="1"/>
  <c r="G41" i="29"/>
  <c r="F42" i="29"/>
  <c r="L41" i="29" l="1"/>
  <c r="F43" i="29"/>
  <c r="J42" i="29"/>
  <c r="I42" i="29" s="1"/>
  <c r="K42" i="29" s="1"/>
  <c r="G42" i="29"/>
  <c r="H42" i="29"/>
  <c r="L42" i="29" l="1"/>
  <c r="H43" i="29" s="1"/>
  <c r="F44" i="29"/>
  <c r="G43" i="29"/>
  <c r="J43" i="29"/>
  <c r="I43" i="29" s="1"/>
  <c r="K43" i="29" s="1"/>
  <c r="L43" i="29" l="1"/>
  <c r="H44" i="29" s="1"/>
  <c r="F45" i="29"/>
  <c r="J44" i="29"/>
  <c r="I44" i="29" s="1"/>
  <c r="K44" i="29" s="1"/>
  <c r="G44" i="29"/>
  <c r="L44" i="29" l="1"/>
  <c r="H45" i="29" s="1"/>
  <c r="F46" i="29"/>
  <c r="G45" i="29"/>
  <c r="J45" i="29"/>
  <c r="I45" i="29" s="1"/>
  <c r="K45" i="29" s="1"/>
  <c r="L45" i="29" l="1"/>
  <c r="H46" i="29" s="1"/>
  <c r="F47" i="29"/>
  <c r="J46" i="29"/>
  <c r="I46" i="29" s="1"/>
  <c r="K46" i="29" s="1"/>
  <c r="G46" i="29"/>
  <c r="L46" i="29" l="1"/>
  <c r="H47" i="29" s="1"/>
  <c r="F48" i="29"/>
  <c r="J47" i="29"/>
  <c r="I47" i="29" s="1"/>
  <c r="K47" i="29" s="1"/>
  <c r="G47" i="29"/>
  <c r="L47" i="29" l="1"/>
  <c r="H48" i="29" s="1"/>
  <c r="J48" i="29"/>
  <c r="I48" i="29" s="1"/>
  <c r="K48" i="29" s="1"/>
  <c r="G48" i="29"/>
  <c r="L48" i="29" l="1"/>
  <c r="D9" i="26" l="1"/>
  <c r="D8" i="26"/>
  <c r="C12" i="25" l="1"/>
  <c r="C11" i="25"/>
  <c r="C10" i="25"/>
  <c r="B6" i="25"/>
  <c r="C5" i="25"/>
  <c r="B3" i="25" s="1"/>
  <c r="F13" i="1"/>
  <c r="D10" i="25"/>
  <c r="D12" i="25"/>
  <c r="D11" i="25"/>
  <c r="G12" i="1" l="1"/>
  <c r="B3" i="1" s="1"/>
  <c r="G10" i="1"/>
  <c r="G9" i="1"/>
  <c r="G8" i="1"/>
  <c r="G7" i="1"/>
  <c r="H16" i="23"/>
  <c r="F16" i="23"/>
  <c r="D16" i="23"/>
  <c r="H13" i="23"/>
  <c r="F13" i="23"/>
  <c r="D13" i="23"/>
  <c r="H10" i="23"/>
  <c r="F10" i="23"/>
  <c r="D10" i="23"/>
  <c r="C7" i="23"/>
  <c r="E7" i="23" s="1"/>
  <c r="H12" i="22"/>
  <c r="K9" i="22"/>
  <c r="K8" i="22"/>
  <c r="J7" i="22"/>
  <c r="K7" i="22" s="1"/>
  <c r="B18" i="21"/>
  <c r="B14" i="21"/>
  <c r="B13" i="21"/>
  <c r="B11" i="21"/>
  <c r="B10" i="21"/>
  <c r="B9" i="21"/>
  <c r="B8" i="21"/>
  <c r="D12" i="18"/>
  <c r="C8" i="18"/>
  <c r="C7" i="18"/>
  <c r="D5" i="14"/>
  <c r="B4" i="14"/>
  <c r="F8" i="13"/>
  <c r="G8" i="13" s="1"/>
  <c r="C8" i="13"/>
  <c r="G7" i="13"/>
  <c r="F7" i="13"/>
  <c r="F6" i="13"/>
  <c r="G6" i="13" s="1"/>
  <c r="C12" i="12"/>
  <c r="C11" i="12"/>
  <c r="C10" i="12"/>
  <c r="C9" i="12"/>
  <c r="C8" i="12"/>
  <c r="C7" i="12"/>
  <c r="C12" i="11"/>
  <c r="C11" i="11"/>
  <c r="C10" i="11"/>
  <c r="C9" i="11"/>
  <c r="C8" i="11"/>
  <c r="C7" i="11"/>
  <c r="C12" i="10"/>
  <c r="C11" i="10"/>
  <c r="C10" i="10"/>
  <c r="C9" i="10"/>
  <c r="C8" i="10"/>
  <c r="C7" i="10"/>
  <c r="F6" i="8"/>
  <c r="E6" i="8"/>
  <c r="F5" i="8"/>
  <c r="F7" i="8" s="1"/>
  <c r="C15" i="7"/>
  <c r="C14" i="7"/>
  <c r="C13" i="7"/>
  <c r="G12" i="7"/>
  <c r="C12" i="7"/>
  <c r="C7" i="7"/>
  <c r="C6" i="7"/>
  <c r="C8" i="7" s="1"/>
  <c r="C15" i="6"/>
  <c r="C14" i="6"/>
  <c r="G13" i="6"/>
  <c r="C13" i="6"/>
  <c r="F12" i="6"/>
  <c r="G12" i="6" s="1"/>
  <c r="C12" i="6"/>
  <c r="C6" i="6"/>
  <c r="C8" i="6" s="1"/>
  <c r="C15" i="5"/>
  <c r="C14" i="5"/>
  <c r="G13" i="5"/>
  <c r="C13" i="5"/>
  <c r="F12" i="5"/>
  <c r="G12" i="5" s="1"/>
  <c r="C12" i="5"/>
  <c r="C6" i="5"/>
  <c r="C8" i="5" s="1"/>
  <c r="B11" i="4"/>
  <c r="F10" i="4"/>
  <c r="F9" i="4"/>
  <c r="F8" i="4"/>
  <c r="C8" i="4"/>
  <c r="C10" i="4" s="1"/>
  <c r="B5" i="4"/>
  <c r="H10" i="1"/>
  <c r="F10" i="21"/>
  <c r="D10" i="4"/>
  <c r="D13" i="5"/>
  <c r="D12" i="12"/>
  <c r="G17" i="21"/>
  <c r="D8" i="18"/>
  <c r="G10" i="4"/>
  <c r="H13" i="5"/>
  <c r="J10" i="23"/>
  <c r="H7" i="13"/>
  <c r="D9" i="10"/>
  <c r="D18" i="21"/>
  <c r="D14" i="6"/>
  <c r="D8" i="12"/>
  <c r="G15" i="21"/>
  <c r="D13" i="21"/>
  <c r="D8" i="13"/>
  <c r="G18" i="21"/>
  <c r="D15" i="6"/>
  <c r="F18" i="21"/>
  <c r="D9" i="12"/>
  <c r="D14" i="7"/>
  <c r="D16" i="21"/>
  <c r="D8" i="21"/>
  <c r="C5" i="4"/>
  <c r="F13" i="21"/>
  <c r="D10" i="11"/>
  <c r="D12" i="6"/>
  <c r="G13" i="21"/>
  <c r="D15" i="5"/>
  <c r="J16" i="23"/>
  <c r="F8" i="21"/>
  <c r="D11" i="10"/>
  <c r="G8" i="4"/>
  <c r="D11" i="21"/>
  <c r="H6" i="13"/>
  <c r="L7" i="22"/>
  <c r="D10" i="12"/>
  <c r="D15" i="7"/>
  <c r="G16" i="21"/>
  <c r="G8" i="21"/>
  <c r="H12" i="6"/>
  <c r="F14" i="21"/>
  <c r="D11" i="11"/>
  <c r="D12" i="7"/>
  <c r="D14" i="21"/>
  <c r="H8" i="13"/>
  <c r="H7" i="1"/>
  <c r="F9" i="21"/>
  <c r="D12" i="10"/>
  <c r="G9" i="4"/>
  <c r="G11" i="21"/>
  <c r="H12" i="5"/>
  <c r="E13" i="22"/>
  <c r="D11" i="12"/>
  <c r="D7" i="10"/>
  <c r="D17" i="21"/>
  <c r="D9" i="21"/>
  <c r="D13" i="6"/>
  <c r="F15" i="21"/>
  <c r="D12" i="11"/>
  <c r="H12" i="7"/>
  <c r="G14" i="21"/>
  <c r="D7" i="18"/>
  <c r="D7" i="11"/>
  <c r="D12" i="21"/>
  <c r="I7" i="23"/>
  <c r="D8" i="10"/>
  <c r="G9" i="21"/>
  <c r="H13" i="6"/>
  <c r="F16" i="21"/>
  <c r="D7" i="12"/>
  <c r="D13" i="7"/>
  <c r="D15" i="21"/>
  <c r="H8" i="1"/>
  <c r="F11" i="21"/>
  <c r="D8" i="11"/>
  <c r="G12" i="21"/>
  <c r="D10" i="21"/>
  <c r="F17" i="21"/>
  <c r="H13" i="7"/>
  <c r="D13" i="18"/>
  <c r="H9" i="1"/>
  <c r="F12" i="21"/>
  <c r="D9" i="11"/>
  <c r="D12" i="5"/>
  <c r="D14" i="5"/>
  <c r="J13" i="23"/>
  <c r="D10" i="10"/>
  <c r="G10" i="21"/>
  <c r="C7" i="6" l="1"/>
  <c r="C7" i="5"/>
  <c r="F8" i="8"/>
  <c r="B12" i="21"/>
  <c r="B16" i="21" s="1"/>
  <c r="B17" i="21" s="1"/>
  <c r="G7" i="23"/>
  <c r="B15" i="21" l="1"/>
</calcChain>
</file>

<file path=xl/sharedStrings.xml><?xml version="1.0" encoding="utf-8"?>
<sst xmlns="http://schemas.openxmlformats.org/spreadsheetml/2006/main" count="546" uniqueCount="414">
  <si>
    <t>No</t>
  </si>
  <si>
    <t>Bulan</t>
  </si>
  <si>
    <t>Transaksi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</si>
  <si>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</si>
  <si>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</si>
  <si>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</si>
  <si>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</si>
  <si>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</si>
  <si>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</si>
  <si>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</si>
  <si>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</si>
  <si>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</si>
  <si>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</si>
  <si>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</si>
  <si>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</si>
  <si>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DATE</t>
  </si>
  <si>
    <t>=DATE(tahun;bulan;tanggal)</t>
  </si>
  <si>
    <t>- mengisi data tanggal dengan format TAHUN, BULAN dan TANGGAL</t>
  </si>
  <si>
    <t>Tahun</t>
  </si>
  <si>
    <t>Hasil</t>
  </si>
  <si>
    <t>Penulisan Fungsi</t>
  </si>
  <si>
    <t>Tanggal</t>
  </si>
  <si>
    <t>DAY</t>
  </si>
  <si>
    <t>=DAY(seri angka atau serial number)</t>
  </si>
  <si>
    <t>- menampilkan angka tanggal (hari kesekian) tanpa menyebut bulan dan tahun</t>
  </si>
  <si>
    <t>- seri angka dapat berupa tanggal atau angka tertentu</t>
  </si>
  <si>
    <t>Angka</t>
  </si>
  <si>
    <t>&lt;&lt; =DAY(C7)</t>
  </si>
  <si>
    <t>Penulisan</t>
  </si>
  <si>
    <t>Serial_Number</t>
  </si>
  <si>
    <t>(Tanggal)</t>
  </si>
  <si>
    <t>Fungsi</t>
  </si>
  <si>
    <t>&lt;&lt; selalu berubah sesuai tanggal komputer</t>
  </si>
  <si>
    <t>MONTH</t>
  </si>
  <si>
    <t>=MONTH(seri angka atau serial number)</t>
  </si>
  <si>
    <t>- menampilkan angka bulan tanpa menyebut tanggal dan tahun</t>
  </si>
  <si>
    <t>&lt;&lt; =MONTH(C7)</t>
  </si>
  <si>
    <t>(Bulan)</t>
  </si>
  <si>
    <t>YEAR</t>
  </si>
  <si>
    <t>=YEAR(seri angka atau serial number)</t>
  </si>
  <si>
    <t>- menampilkan angka tahun tanpa menyebut bulan dan tanggal</t>
  </si>
  <si>
    <t>&lt;&lt; =YEAR(C7)</t>
  </si>
  <si>
    <t>(Tahun)</t>
  </si>
  <si>
    <t>EDATE</t>
  </si>
  <si>
    <t>Tanggal awal</t>
  </si>
  <si>
    <t>Hasil (tanggal)</t>
  </si>
  <si>
    <t>EOMONTH</t>
  </si>
  <si>
    <t>HOUR</t>
  </si>
  <si>
    <t>=HOUR(nomor/angka seri)</t>
  </si>
  <si>
    <t>-  menghasilkan angka (bilangan bulat) dari waktu (jam) tanpa menyebut</t>
  </si>
  <si>
    <t>satuan menit dan detik</t>
  </si>
  <si>
    <t>Waktu (Serial_Number)</t>
  </si>
  <si>
    <t>Hasil (Jam)</t>
  </si>
  <si>
    <t>berubah sesuai sistem &gt;&gt;</t>
  </si>
  <si>
    <t>MINUTE</t>
  </si>
  <si>
    <t>=MINUTE(nomor/angka seri)</t>
  </si>
  <si>
    <t>-  menghasilkan angka (bilangan bulat) dari waktu (menit) tanpa menyebut</t>
  </si>
  <si>
    <t>satuan jam dan detik</t>
  </si>
  <si>
    <t>SECOND</t>
  </si>
  <si>
    <t>=SECOND(nomor/angka seri)</t>
  </si>
  <si>
    <t>-  menghasilkan angka (bilangan bulat) dari waktu (detik) tanpa menyebut</t>
  </si>
  <si>
    <t>satuan jam dan menit</t>
  </si>
  <si>
    <t>TIME</t>
  </si>
  <si>
    <t>=TIME(jam;menit;detik)</t>
  </si>
  <si>
    <t>- menuliskan waktu dalam format jam, menit dan detik</t>
  </si>
  <si>
    <t>Jam</t>
  </si>
  <si>
    <t xml:space="preserve">Format Waktu   </t>
  </si>
  <si>
    <t xml:space="preserve">Format General  </t>
  </si>
  <si>
    <t>Menit</t>
  </si>
  <si>
    <t>Detik</t>
  </si>
  <si>
    <t>General--&gt;&gt; konversi waktu ke angka, 24 jam nilainya 1</t>
  </si>
  <si>
    <t>Pilih Tampilan Tanggal :         Tanggal dan Jam           Hanya Tanggal</t>
  </si>
  <si>
    <t>Fungsi yang digunakan</t>
  </si>
  <si>
    <t>Data</t>
  </si>
  <si>
    <t>TEXT</t>
  </si>
  <si>
    <t>=TEXT(data;format teks)</t>
  </si>
  <si>
    <r>
      <t>- memformat tampilan data angka (</t>
    </r>
    <r>
      <rPr>
        <i/>
        <sz val="11"/>
        <rFont val="Calibri"/>
        <family val="2"/>
        <scheme val="minor"/>
      </rPr>
      <t>numeri</t>
    </r>
    <r>
      <rPr>
        <sz val="11"/>
        <rFont val="Calibri"/>
        <family val="2"/>
        <scheme val="minor"/>
      </rPr>
      <t>c) menjadi format teks teks</t>
    </r>
  </si>
  <si>
    <t>- data tetap tipe numerik sehingga dapat digunakan untuk operasi matematika</t>
  </si>
  <si>
    <t>Nama</t>
  </si>
  <si>
    <t>Tabungan</t>
  </si>
  <si>
    <t>Hasil dan Penulisan Fungsi</t>
  </si>
  <si>
    <t>Keterangan</t>
  </si>
  <si>
    <t>MOD</t>
  </si>
  <si>
    <t>=MOD(pembilang;penyebut)</t>
  </si>
  <si>
    <t>- menghasilkan nilai sisa pembagian dua bilangan</t>
  </si>
  <si>
    <t>Bilangan/Angka</t>
  </si>
  <si>
    <t>Hasil (sisa pembagian)</t>
  </si>
  <si>
    <t>Penulisan fungsi</t>
  </si>
  <si>
    <t>Penjelasan</t>
  </si>
  <si>
    <t>Pembilang</t>
  </si>
  <si>
    <t>Penyebut</t>
  </si>
  <si>
    <t>Isi angka pembilang</t>
  </si>
  <si>
    <r>
      <t>(</t>
    </r>
    <r>
      <rPr>
        <b/>
        <i/>
        <sz val="11"/>
        <color theme="0"/>
        <rFont val="Calibri"/>
        <family val="2"/>
        <scheme val="minor"/>
      </rPr>
      <t>number</t>
    </r>
    <r>
      <rPr>
        <b/>
        <sz val="11"/>
        <color theme="0"/>
        <rFont val="Calibri"/>
        <family val="2"/>
        <scheme val="minor"/>
      </rPr>
      <t>)</t>
    </r>
  </si>
  <si>
    <r>
      <t>(</t>
    </r>
    <r>
      <rPr>
        <b/>
        <i/>
        <sz val="11"/>
        <color theme="0"/>
        <rFont val="Calibri"/>
        <family val="2"/>
        <scheme val="minor"/>
      </rPr>
      <t>devisor</t>
    </r>
    <r>
      <rPr>
        <b/>
        <sz val="11"/>
        <color theme="0"/>
        <rFont val="Calibri"/>
        <family val="2"/>
        <scheme val="minor"/>
      </rPr>
      <t>)</t>
    </r>
  </si>
  <si>
    <t>Isi angka penyebut</t>
  </si>
  <si>
    <t>Sisa hasil pembagian</t>
  </si>
  <si>
    <t>=MOD(B10;C10)</t>
  </si>
  <si>
    <t>=MOD(B11;C11)</t>
  </si>
  <si>
    <t>FORMULATEXT</t>
  </si>
  <si>
    <t>=FORMULATEXT(referensi)</t>
  </si>
  <si>
    <t>- menampilkan rumus atau fungsi sebagai string atau teks</t>
  </si>
  <si>
    <t>- referensi mengacu ke suatu sel pada suatu buku kerja atau buku kerja lain</t>
  </si>
  <si>
    <t>Contoh</t>
  </si>
  <si>
    <t>Isian Sel</t>
  </si>
  <si>
    <t>CHOOSE</t>
  </si>
  <si>
    <t>=CHOOSE (index_num;value1;value2;........)</t>
  </si>
  <si>
    <t>- menampilkan data berdasarkan urutan referensi</t>
  </si>
  <si>
    <t>Kota</t>
  </si>
  <si>
    <r>
      <t xml:space="preserve">Bentuk fungsi: </t>
    </r>
    <r>
      <rPr>
        <b/>
        <i/>
        <sz val="11"/>
        <color rgb="FF0033CC"/>
        <rFont val="Calibri"/>
        <family val="2"/>
        <scheme val="minor"/>
      </rPr>
      <t xml:space="preserve"> =CHOOSE(no urut;referensi1;referensi2,.....)</t>
    </r>
  </si>
  <si>
    <t>Merak</t>
  </si>
  <si>
    <t xml:space="preserve">Catatan: </t>
  </si>
  <si>
    <t>Hari</t>
  </si>
  <si>
    <t>Banten</t>
  </si>
  <si>
    <t>-  isian sel referensi (value) harus diisikan satu per satu</t>
  </si>
  <si>
    <t>Tangerang</t>
  </si>
  <si>
    <t xml:space="preserve">-  disarankan untuk menggunakan fungsi ini dilakukan </t>
  </si>
  <si>
    <t>Jakarta</t>
  </si>
  <si>
    <t>melalui kotak dialog untuk mengurangi kesalahan</t>
  </si>
  <si>
    <t>Bandung</t>
  </si>
  <si>
    <t>Tegal</t>
  </si>
  <si>
    <t>Purwokerto</t>
  </si>
  <si>
    <t>Pilihan Nomor Urut</t>
  </si>
  <si>
    <t>Jogjakarta</t>
  </si>
  <si>
    <t>Semarang</t>
  </si>
  <si>
    <t>Surabaya</t>
  </si>
  <si>
    <t xml:space="preserve"> -----&gt;&gt;&gt; referensi (values)</t>
  </si>
  <si>
    <t>nomor indeks (urut)</t>
  </si>
  <si>
    <t>CONVERT</t>
  </si>
  <si>
    <t>=CONVERT(number;from_unit;to_unit)</t>
  </si>
  <si>
    <t>- mengkonversi bilangan dari satu sistem pengukuran ke sistem pengukuran lain</t>
  </si>
  <si>
    <t>Celcius</t>
  </si>
  <si>
    <t>Farenheit</t>
  </si>
  <si>
    <t>Kelvin</t>
  </si>
  <si>
    <t xml:space="preserve">No. </t>
  </si>
  <si>
    <t>Ukuran Berat</t>
  </si>
  <si>
    <t>Kode</t>
  </si>
  <si>
    <t>Temperatur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</si>
  <si>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</si>
  <si>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F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</si>
  <si>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K</t>
    </r>
  </si>
  <si>
    <t>Gram</t>
  </si>
  <si>
    <t>"g"</t>
  </si>
  <si>
    <t>Slug</t>
  </si>
  <si>
    <t>"sg"</t>
  </si>
  <si>
    <t>Pound mass (avoirdupois)</t>
  </si>
  <si>
    <t>"lbm"</t>
  </si>
  <si>
    <t>U (atomic mass unit)</t>
  </si>
  <si>
    <t>"u"</t>
  </si>
  <si>
    <t>Ounce mass (avoirdupois)</t>
  </si>
  <si>
    <t>"ozm"</t>
  </si>
  <si>
    <t>Ukuran Jarak</t>
  </si>
  <si>
    <t>Metre</t>
  </si>
  <si>
    <t>"m"</t>
  </si>
  <si>
    <t>Statute mile</t>
  </si>
  <si>
    <t>Nautical mile</t>
  </si>
  <si>
    <t>Yard</t>
  </si>
  <si>
    <t>"mi"</t>
  </si>
  <si>
    <t>Jarak (m)</t>
  </si>
  <si>
    <t>"Nmi"</t>
  </si>
  <si>
    <t>Inch</t>
  </si>
  <si>
    <t>"in"</t>
  </si>
  <si>
    <t>Foot</t>
  </si>
  <si>
    <t>"ft"</t>
  </si>
  <si>
    <t>"yd"</t>
  </si>
  <si>
    <t>Angstrom</t>
  </si>
  <si>
    <t>"ang"</t>
  </si>
  <si>
    <t>Pica (1/72 in)</t>
  </si>
  <si>
    <t>"Pica"</t>
  </si>
  <si>
    <t>Ukuran Waktu</t>
  </si>
  <si>
    <t>Year</t>
  </si>
  <si>
    <t>"yr"</t>
  </si>
  <si>
    <t>Day</t>
  </si>
  <si>
    <t>"day"</t>
  </si>
  <si>
    <t>Hour</t>
  </si>
  <si>
    <t>"hr"</t>
  </si>
  <si>
    <t>Minute</t>
  </si>
  <si>
    <t>"mn"</t>
  </si>
  <si>
    <t>Second</t>
  </si>
  <si>
    <t>"sec"</t>
  </si>
  <si>
    <t>Ukuran Tekanan</t>
  </si>
  <si>
    <t>Pascal</t>
  </si>
  <si>
    <t>"Pa" atau "p"</t>
  </si>
  <si>
    <t>Atmosphere</t>
  </si>
  <si>
    <t>"atm" atau "at"</t>
  </si>
  <si>
    <t>mm of Mercury</t>
  </si>
  <si>
    <t>"mmHg"</t>
  </si>
  <si>
    <t>Ukuran Gaya</t>
  </si>
  <si>
    <t>Newton</t>
  </si>
  <si>
    <t>"N"</t>
  </si>
  <si>
    <t>Dyne</t>
  </si>
  <si>
    <t>"dyn" atau "dy"</t>
  </si>
  <si>
    <t>Pound force</t>
  </si>
  <si>
    <t>"lbf"</t>
  </si>
  <si>
    <t>Ukuran Energi</t>
  </si>
  <si>
    <t>Joule</t>
  </si>
  <si>
    <t>"J"</t>
  </si>
  <si>
    <t>Erg</t>
  </si>
  <si>
    <t>"e"</t>
  </si>
  <si>
    <t>Thermodynamic calorie</t>
  </si>
  <si>
    <t>"c"</t>
  </si>
  <si>
    <t>IT calorie</t>
  </si>
  <si>
    <t>"cal"</t>
  </si>
  <si>
    <t>Electron volt</t>
  </si>
  <si>
    <t>"eV" atau "ev"</t>
  </si>
  <si>
    <t>Horsepower-hour</t>
  </si>
  <si>
    <t>"HPh" atau "hh"</t>
  </si>
  <si>
    <t>Watt hour</t>
  </si>
  <si>
    <t>"Wh" atau "wh"</t>
  </si>
  <si>
    <t>Foot-pound</t>
  </si>
  <si>
    <t>"flb"</t>
  </si>
  <si>
    <t>BTU</t>
  </si>
  <si>
    <t>"BTU" atau "btu"</t>
  </si>
  <si>
    <t>Ukuran Tenaga</t>
  </si>
  <si>
    <t>Horsepower</t>
  </si>
  <si>
    <t>"HP" atau "HPh"</t>
  </si>
  <si>
    <t>Watt</t>
  </si>
  <si>
    <t>"W" atau "Wh"</t>
  </si>
  <si>
    <t>Ukuran Daya Tarik</t>
  </si>
  <si>
    <t>Tesla</t>
  </si>
  <si>
    <t>"T"</t>
  </si>
  <si>
    <t>Gauss</t>
  </si>
  <si>
    <t>"ga"</t>
  </si>
  <si>
    <t>Ukuran Temperatur</t>
  </si>
  <si>
    <t>Degree Celcius</t>
  </si>
  <si>
    <t>"C" atau "cel"</t>
  </si>
  <si>
    <t>Degree Fahrenheit</t>
  </si>
  <si>
    <t>"F" atau "fah"</t>
  </si>
  <si>
    <t>"K" atau "kel"</t>
  </si>
  <si>
    <t>Terendah</t>
  </si>
  <si>
    <t>Rata-rata</t>
  </si>
  <si>
    <t>Jumlah</t>
  </si>
  <si>
    <t>MAX, MIN, AVERAGE, SUM</t>
  </si>
  <si>
    <t>Rincian Transaksi:</t>
  </si>
  <si>
    <t>Pilih</t>
  </si>
  <si>
    <t xml:space="preserve">Tertinggi </t>
  </si>
  <si>
    <t xml:space="preserve"> Pilih</t>
  </si>
  <si>
    <r>
      <rPr>
        <i/>
        <sz val="11"/>
        <color theme="1"/>
        <rFont val="Calibri"/>
        <family val="2"/>
        <scheme val="minor"/>
      </rPr>
      <t xml:space="preserve"> &lt;&lt; nama range</t>
    </r>
    <r>
      <rPr>
        <sz val="11"/>
        <color theme="1"/>
        <rFont val="Calibri"/>
        <family val="2"/>
        <charset val="1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Transaksi</t>
    </r>
  </si>
  <si>
    <t>UPPER, LOWER dan PROPER</t>
  </si>
  <si>
    <t>mengubah teks menjadi huruf KAPITAL atau BESAR</t>
  </si>
  <si>
    <t>mengubah teks menjadi huruf kecil</t>
  </si>
  <si>
    <t>mengawali teks dengan huruf besar</t>
  </si>
  <si>
    <t>jaKARta</t>
  </si>
  <si>
    <t>Contoh teks</t>
  </si>
  <si>
    <t>RATE</t>
  </si>
  <si>
    <t>=RATE(waktu;pembayaran;pinjaman;nilai mendatang;tipe)</t>
  </si>
  <si>
    <t>-  menghitung tingkat suku bunga dari suatu pinjaman yang</t>
  </si>
  <si>
    <t>diangsur secara berkala selama periode tertentu</t>
  </si>
  <si>
    <r>
      <t>Jangka Waktu 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</si>
  <si>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t>Tipe</t>
  </si>
  <si>
    <t>Waktu Pembayaran</t>
  </si>
  <si>
    <r>
      <t>Nilai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</si>
  <si>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t>akhir periode</t>
  </si>
  <si>
    <r>
      <t>Nilai Pinjaman Saat Ini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</si>
  <si>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>awal periode</t>
  </si>
  <si>
    <r>
      <t>Jenis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</si>
  <si>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Tingkat suku bunga pinjaman per bulan</t>
  </si>
  <si>
    <t>Tingkat suku bunga pinjaman per tahun</t>
  </si>
  <si>
    <t>IPMT</t>
  </si>
  <si>
    <t>=IPMT(bunga;periode;waktu;pinjaman;nilai akan datang;tipe)</t>
  </si>
  <si>
    <t>PMT</t>
  </si>
  <si>
    <t>=PMT(bunga;waktu;pinjaman;nilai akan datang;tipe pembayaran)</t>
  </si>
  <si>
    <t>Data Pinjaman</t>
  </si>
  <si>
    <t>Pokok Pinjaman</t>
  </si>
  <si>
    <t>Bunga per Tahun</t>
  </si>
  <si>
    <t>Waktu Pinjam</t>
  </si>
  <si>
    <t>pokok pinjaman + bunga) pada sistem bunga Efektif</t>
  </si>
  <si>
    <t>-  menghitung nilai pembayaran angsuran pinjaman (cicilan</t>
  </si>
  <si>
    <t>- menghitung bunga pinjaman pada periode tertentu pada</t>
  </si>
  <si>
    <t xml:space="preserve">   sistem bunga efektif</t>
  </si>
  <si>
    <t>Angsuran Pinjaman</t>
  </si>
  <si>
    <t xml:space="preserve">Pokok </t>
  </si>
  <si>
    <t>Cicilan Pokok</t>
  </si>
  <si>
    <t>Angsuran</t>
  </si>
  <si>
    <t>Saldo</t>
  </si>
  <si>
    <t>Pinjaman</t>
  </si>
  <si>
    <t>Bunga</t>
  </si>
  <si>
    <t>Angsuran per Bulan</t>
  </si>
  <si>
    <t>Tanggal Angsuran ke-1</t>
  </si>
  <si>
    <t xml:space="preserve">- mencari tanggal berdasarkan tanggal awal </t>
  </si>
  <si>
    <t xml:space="preserve">   yang ditetapkan dan interval bulan</t>
  </si>
  <si>
    <t xml:space="preserve">   (negatif)</t>
  </si>
  <si>
    <t>- interval bulan dapat maju (positif) atau mundur</t>
  </si>
  <si>
    <t xml:space="preserve">   awal yang ditetapkan dan interval bulan</t>
  </si>
  <si>
    <t>- mencari tanggal akhir bulan berdasarkan tanggal</t>
  </si>
  <si>
    <t>=EDATE(tanggal_awal;bulan)</t>
  </si>
  <si>
    <t>=EOMONTH(tanggal_awal;bulan)</t>
  </si>
  <si>
    <t>EDATE dan EOMONTH</t>
  </si>
  <si>
    <t>Contoh penerapan</t>
  </si>
  <si>
    <t xml:space="preserve">                                                                                                                                                                                      </t>
  </si>
  <si>
    <t>CHIINV - TABEL CHISQUARE</t>
  </si>
  <si>
    <t>=CHIINV(angka;derajat kebebasan)</t>
  </si>
  <si>
    <t>- menghasilkan probabilitas kai kuadrat atau chi-square</t>
  </si>
  <si>
    <t>- digunakan untuk membuat tabel Chi-square</t>
  </si>
  <si>
    <t>α</t>
  </si>
  <si>
    <t>DF</t>
  </si>
  <si>
    <t>FUNGSI NOW dan TODAY</t>
  </si>
  <si>
    <t>Dona</t>
  </si>
  <si>
    <t>Doni</t>
  </si>
  <si>
    <t xml:space="preserve"> Angsuran ke-</t>
  </si>
  <si>
    <t>PMT dan IPMT</t>
  </si>
  <si>
    <t>COUNT dan COUNTA</t>
  </si>
  <si>
    <t>=COUNT/COUNTA(value1;value2;......)</t>
  </si>
  <si>
    <r>
      <t xml:space="preserve">- </t>
    </r>
    <r>
      <rPr>
        <b/>
        <sz val="11"/>
        <color rgb="FF0000FF"/>
        <rFont val="Calibri"/>
        <family val="2"/>
        <scheme val="minor"/>
      </rPr>
      <t>COUNT</t>
    </r>
    <r>
      <rPr>
        <sz val="11"/>
        <rFont val="Calibri"/>
        <family val="2"/>
        <scheme val="minor"/>
      </rPr>
      <t xml:space="preserve"> &gt;&gt;  menghitung jumlah data tipe numerik atau bilangan/angka yang terdapat dalam suatu range data</t>
    </r>
  </si>
  <si>
    <r>
      <t xml:space="preserve">- </t>
    </r>
    <r>
      <rPr>
        <b/>
        <sz val="11"/>
        <color rgb="FF0000FF"/>
        <rFont val="Calibri"/>
        <family val="2"/>
        <scheme val="minor"/>
      </rPr>
      <t xml:space="preserve">COUNTA </t>
    </r>
    <r>
      <rPr>
        <sz val="11"/>
        <rFont val="Calibri"/>
        <family val="2"/>
        <scheme val="minor"/>
      </rPr>
      <t>&gt;&gt;  menghitung jumlah data (semua tipe) yang terdapat dalam suatu range data, kecuali sel kosong</t>
    </r>
  </si>
  <si>
    <t>COUNT</t>
  </si>
  <si>
    <t>=COUNT(B8:B18)</t>
  </si>
  <si>
    <t>TEGAL</t>
  </si>
  <si>
    <t>Sel berisi angka</t>
  </si>
  <si>
    <t>COUNTA</t>
  </si>
  <si>
    <t>=COUNTA(B8:B18)</t>
  </si>
  <si>
    <t>257 km</t>
  </si>
  <si>
    <t>Sel berisi data</t>
  </si>
  <si>
    <t>ABC</t>
  </si>
  <si>
    <t>BOGOR</t>
  </si>
  <si>
    <t>47 km</t>
  </si>
  <si>
    <t>BEKASI</t>
  </si>
  <si>
    <t>KOSONG</t>
  </si>
  <si>
    <t>27 km</t>
  </si>
  <si>
    <t>ISI</t>
  </si>
  <si>
    <t xml:space="preserve"> jumlah sel 36</t>
  </si>
  <si>
    <t>1250-A</t>
  </si>
  <si>
    <t>BUKA</t>
  </si>
  <si>
    <t>4DEF</t>
  </si>
  <si>
    <t>TUTUP</t>
  </si>
  <si>
    <t>F5D</t>
  </si>
  <si>
    <t>DEF</t>
  </si>
  <si>
    <t>EXCEL</t>
  </si>
  <si>
    <t>TIGER</t>
  </si>
  <si>
    <t>MUDAH</t>
  </si>
  <si>
    <t>MACAN</t>
  </si>
  <si>
    <t>RANK</t>
  </si>
  <si>
    <t>=RANK(angka;referensi;order)</t>
  </si>
  <si>
    <t>-  menentukan posisi atau ranking (dengan pilihan daftar urutan nilai yang</t>
  </si>
  <si>
    <t xml:space="preserve">dimulai dari nilai terbesar atau dimulai dari urutan nilai terkecil) </t>
  </si>
  <si>
    <t>&lt;&lt; pilihan order</t>
  </si>
  <si>
    <t>Pilihan ranking ke-</t>
  </si>
  <si>
    <t>&lt;&lt; pilihan tanda ranking</t>
  </si>
  <si>
    <t>Penjualan Kendaraan</t>
  </si>
  <si>
    <t>Ranking ke-</t>
  </si>
  <si>
    <t>Wilayah</t>
  </si>
  <si>
    <t>Unit</t>
  </si>
  <si>
    <t>Denpasar</t>
  </si>
  <si>
    <t>Mataram</t>
  </si>
  <si>
    <t>Medan</t>
  </si>
  <si>
    <t>Padang</t>
  </si>
  <si>
    <t>Palembang</t>
  </si>
  <si>
    <t>Banjarmasin</t>
  </si>
  <si>
    <t>Balikpapan</t>
  </si>
  <si>
    <t>Manado</t>
  </si>
  <si>
    <t>Makassar</t>
  </si>
  <si>
    <t>Ambon</t>
  </si>
  <si>
    <t>Jayapura</t>
  </si>
  <si>
    <t>MATCH</t>
  </si>
  <si>
    <t>=MATCH(lookup_value;lookup_array;match_type)</t>
  </si>
  <si>
    <t>- menampilkan posisi suatu sel terpilih dalam sebuah data yang ditetapkan sebelumnya</t>
  </si>
  <si>
    <t>Posisi</t>
  </si>
  <si>
    <t>No Tes</t>
  </si>
  <si>
    <t>Nilai</t>
  </si>
  <si>
    <t>Bentuk sederhana:</t>
  </si>
  <si>
    <t>B105</t>
  </si>
  <si>
    <t>=MATCH(data yang dicari;tabel berisi data yang dicari;tipe)</t>
  </si>
  <si>
    <t>B101</t>
  </si>
  <si>
    <t>Agung Pramujo N</t>
  </si>
  <si>
    <t>B115</t>
  </si>
  <si>
    <t>Bekasi</t>
  </si>
  <si>
    <t xml:space="preserve">Contoh: </t>
  </si>
  <si>
    <t>B102</t>
  </si>
  <si>
    <t>Bogor</t>
  </si>
  <si>
    <t>- yang dicari peringkat peserta tes, berarti nama orang</t>
  </si>
  <si>
    <t>B107</t>
  </si>
  <si>
    <t>Bambang Ristiyanto</t>
  </si>
  <si>
    <t>- tabel data berarti range yang berisi nama peserta tes</t>
  </si>
  <si>
    <t>B109</t>
  </si>
  <si>
    <t>Sumitro</t>
  </si>
  <si>
    <t>B103</t>
  </si>
  <si>
    <t>Selviany</t>
  </si>
  <si>
    <t>Peringkat</t>
  </si>
  <si>
    <t>B114</t>
  </si>
  <si>
    <t>Abdurohman</t>
  </si>
  <si>
    <t>B112</t>
  </si>
  <si>
    <t>Kusnandar</t>
  </si>
  <si>
    <t>B106</t>
  </si>
  <si>
    <t>Elvira</t>
  </si>
  <si>
    <t>B108</t>
  </si>
  <si>
    <t>Amirudin</t>
  </si>
  <si>
    <t>Depok</t>
  </si>
  <si>
    <t>B104</t>
  </si>
  <si>
    <t>Rochmat Supriyadi</t>
  </si>
  <si>
    <t>Gombong</t>
  </si>
  <si>
    <t>B113</t>
  </si>
  <si>
    <t>Diana</t>
  </si>
  <si>
    <t>B110</t>
  </si>
  <si>
    <t>Hermansyah</t>
  </si>
  <si>
    <t>B111</t>
  </si>
  <si>
    <t>Surbakti</t>
  </si>
  <si>
    <t xml:space="preserve">OFFSET </t>
  </si>
  <si>
    <t>=OFFSET(referensi;baris;kolom,tinggi;lebar)</t>
  </si>
  <si>
    <t>- menyalin data yang terdapat pada suatu range data</t>
  </si>
  <si>
    <t xml:space="preserve"> OFFSET</t>
  </si>
  <si>
    <t>&lt;&lt; posisi kolom</t>
  </si>
  <si>
    <t>Tujuan</t>
  </si>
  <si>
    <t>Jan</t>
  </si>
  <si>
    <t>Feb</t>
  </si>
  <si>
    <t>Mar</t>
  </si>
  <si>
    <t>Apr</t>
  </si>
  <si>
    <t>Jun</t>
  </si>
  <si>
    <t>Australia</t>
  </si>
  <si>
    <t>Jepang</t>
  </si>
  <si>
    <t>Eropa</t>
  </si>
  <si>
    <t>Afrika</t>
  </si>
  <si>
    <t>Amerika</t>
  </si>
  <si>
    <t>MF Alan Pratama</t>
  </si>
  <si>
    <t>Indah Purnawati</t>
  </si>
  <si>
    <t>Minarni Alamsyah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</si>
</sst>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3" formatCode="_(* #,##0.00_);_(* \(#,##0.00\);_(* &quot;-&quot;??_);_(@_)"/>
    <numFmt numFmtId="164" formatCode="[$-421]dd\ mmmm\ yyyy;@"/>
    <numFmt numFmtId="165" formatCode="[$-F800]dddd\,\ mmmm\ dd\,\ yyyy"/>
    <numFmt numFmtId="166" formatCode="h:mm:ss;@"/>
    <numFmt numFmtId="167" formatCode="[$-F400]h:mm:ss\ AM/PM"/>
    <numFmt numFmtId="168" formatCode="#,##0.00000"/>
    <numFmt numFmtId="169" formatCode="#,##0.0000"/>
    <numFmt numFmtId="170" formatCode="#,##0\ "/>
    <numFmt numFmtId="171" formatCode="#,##0\ &quot;kali &quot;"/>
    <numFmt numFmtId="172" formatCode="0.0%"/>
    <numFmt numFmtId="173" formatCode="0.00%\ "/>
    <numFmt numFmtId="174" formatCode="General\ &quot;tahun &quot;"/>
    <numFmt numFmtId="175" formatCode="General\ "/>
    <numFmt numFmtId="176" formatCode="dd/mm/yyyy\ "/>
    <numFmt numFmtId="177" formatCode="0_);\(0\)"/>
    <numFmt numFmtId="178" formatCode="#,##0.0000_);\(#,##0.0000\)"/>
    <numFmt numFmtId="179" formatCode="#,##0.0_);\(#,##0.0\)"/>
    <numFmt numFmtId="180" formatCode="&quot;Tahun &quot;yyyy"/>
  </numFmts>
  <fonts count="4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0033CC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rgb="FF0033CC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rgb="FF0000CC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rgb="FF0000CC"/>
      <name val="Calibri"/>
      <family val="2"/>
      <charset val="1"/>
      <scheme val="minor"/>
    </font>
    <font>
      <i/>
      <sz val="11"/>
      <color rgb="FFFF0000"/>
      <name val="Calibri"/>
      <family val="2"/>
      <scheme val="minor"/>
    </font>
    <font>
      <b/>
      <sz val="14"/>
      <color rgb="FF0033CC"/>
      <name val="Calibri"/>
      <family val="2"/>
      <scheme val="minor"/>
    </font>
    <font>
      <b/>
      <sz val="11"/>
      <color rgb="FF0033CC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B05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theme="0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12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thin">
        <color indexed="9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n">
        <color indexed="9"/>
      </left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theme="0"/>
      </top>
      <bottom style="thin">
        <color indexed="9"/>
      </bottom>
      <diagonal/>
    </border>
    <border>
      <left/>
      <right/>
      <top style="thin">
        <color theme="0"/>
      </top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/>
      <diagonal/>
    </border>
  </borders>
  <cellStyleXfs count="15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41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</cellStyleXfs>
  <cellXfs count="389">
    <xf numFmtId="0" fontId="0" fillId="0" borderId="0" xfId="0"/>
    <xf numFmtId="0" fontId="5" fillId="0" borderId="0" xfId="1" applyFont="1" applyAlignment="1">
      <alignment vertical="center"/>
    </xf>
    <xf numFmtId="0" fontId="5" fillId="2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14" fontId="7" fillId="0" borderId="0" xfId="1" applyNumberFormat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5" fillId="0" borderId="0" xfId="1" quotePrefix="1" applyFont="1" applyAlignment="1">
      <alignment vertical="center"/>
    </xf>
    <xf numFmtId="14" fontId="5" fillId="4" borderId="2" xfId="1" quotePrefix="1" applyNumberFormat="1" applyFont="1" applyFill="1" applyBorder="1" applyAlignment="1">
      <alignment horizontal="center" vertical="center"/>
    </xf>
    <xf numFmtId="14" fontId="8" fillId="0" borderId="0" xfId="1" quotePrefix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horizontal="left" vertical="center" indent="1"/>
    </xf>
    <xf numFmtId="0" fontId="5" fillId="4" borderId="3" xfId="1" applyFont="1" applyFill="1" applyBorder="1" applyAlignment="1">
      <alignment horizontal="left" vertical="center" indent="1"/>
    </xf>
    <xf numFmtId="0" fontId="5" fillId="2" borderId="3" xfId="1" applyFont="1" applyFill="1" applyBorder="1" applyAlignment="1">
      <alignment vertical="center"/>
    </xf>
    <xf numFmtId="0" fontId="9" fillId="5" borderId="2" xfId="1" applyFont="1" applyFill="1" applyBorder="1" applyAlignment="1">
      <alignment horizontal="center" vertical="center"/>
    </xf>
    <xf numFmtId="0" fontId="9" fillId="5" borderId="4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0" fontId="5" fillId="0" borderId="3" xfId="1" applyFont="1" applyBorder="1" applyAlignment="1">
      <alignment vertical="center"/>
    </xf>
    <xf numFmtId="164" fontId="5" fillId="4" borderId="0" xfId="1" quotePrefix="1" applyNumberFormat="1" applyFont="1" applyFill="1" applyBorder="1" applyAlignment="1">
      <alignment horizontal="left" vertical="center" indent="1"/>
    </xf>
    <xf numFmtId="14" fontId="5" fillId="4" borderId="5" xfId="1" quotePrefix="1" applyNumberFormat="1" applyFont="1" applyFill="1" applyBorder="1" applyAlignment="1">
      <alignment horizontal="left" vertical="center" indent="1"/>
    </xf>
    <xf numFmtId="0" fontId="7" fillId="5" borderId="2" xfId="1" applyFont="1" applyFill="1" applyBorder="1" applyAlignment="1">
      <alignment horizontal="left" vertical="center" indent="1"/>
    </xf>
    <xf numFmtId="0" fontId="5" fillId="4" borderId="6" xfId="1" applyFont="1" applyFill="1" applyBorder="1" applyAlignment="1">
      <alignment horizontal="left" vertical="center" indent="1"/>
    </xf>
    <xf numFmtId="14" fontId="5" fillId="4" borderId="3" xfId="1" quotePrefix="1" applyNumberFormat="1" applyFont="1" applyFill="1" applyBorder="1" applyAlignment="1">
      <alignment horizontal="left" vertical="center" indent="1"/>
    </xf>
    <xf numFmtId="0" fontId="9" fillId="6" borderId="0" xfId="1" applyFont="1" applyFill="1" applyAlignment="1">
      <alignment horizontal="center" vertical="center"/>
    </xf>
    <xf numFmtId="165" fontId="5" fillId="7" borderId="4" xfId="1" quotePrefix="1" applyNumberFormat="1" applyFont="1" applyFill="1" applyBorder="1" applyAlignment="1">
      <alignment horizontal="left" vertical="center" indent="1"/>
    </xf>
    <xf numFmtId="0" fontId="8" fillId="2" borderId="3" xfId="1" applyFont="1" applyFill="1" applyBorder="1" applyAlignment="1">
      <alignment vertical="center"/>
    </xf>
    <xf numFmtId="0" fontId="5" fillId="0" borderId="7" xfId="1" quotePrefix="1" applyFont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14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9" fillId="5" borderId="0" xfId="1" applyFont="1" applyFill="1" applyAlignment="1">
      <alignment horizontal="left" vertical="center" indent="1"/>
    </xf>
    <xf numFmtId="3" fontId="5" fillId="4" borderId="0" xfId="1" applyNumberFormat="1" applyFont="1" applyFill="1" applyAlignment="1">
      <alignment horizontal="left" vertical="center" indent="1"/>
    </xf>
    <xf numFmtId="0" fontId="5" fillId="4" borderId="0" xfId="1" applyFont="1" applyFill="1" applyAlignment="1">
      <alignment vertical="center"/>
    </xf>
    <xf numFmtId="0" fontId="5" fillId="4" borderId="0" xfId="1" quotePrefix="1" applyFont="1" applyFill="1" applyAlignment="1">
      <alignment horizontal="left" vertical="center" indent="1"/>
    </xf>
    <xf numFmtId="0" fontId="8" fillId="4" borderId="0" xfId="1" applyFont="1" applyFill="1" applyAlignment="1">
      <alignment vertical="center"/>
    </xf>
    <xf numFmtId="0" fontId="9" fillId="5" borderId="0" xfId="1" applyFont="1" applyFill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14" fontId="5" fillId="4" borderId="0" xfId="1" applyNumberFormat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0" xfId="1" quotePrefix="1" applyFont="1" applyFill="1" applyBorder="1" applyAlignment="1">
      <alignment horizontal="left" vertical="center" indent="1"/>
    </xf>
    <xf numFmtId="0" fontId="5" fillId="0" borderId="0" xfId="1" applyFont="1" applyBorder="1" applyAlignment="1">
      <alignment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Fill="1" applyAlignment="1">
      <alignment vertical="center"/>
    </xf>
    <xf numFmtId="164" fontId="5" fillId="4" borderId="3" xfId="1" applyNumberFormat="1" applyFont="1" applyFill="1" applyBorder="1" applyAlignment="1">
      <alignment horizontal="left" vertical="center" indent="1"/>
    </xf>
    <xf numFmtId="0" fontId="9" fillId="5" borderId="2" xfId="1" applyFont="1" applyFill="1" applyBorder="1" applyAlignment="1">
      <alignment horizontal="left" vertical="center" indent="1"/>
    </xf>
    <xf numFmtId="0" fontId="5" fillId="4" borderId="4" xfId="1" applyFont="1" applyFill="1" applyBorder="1" applyAlignment="1">
      <alignment horizontal="left" vertical="center" indent="1"/>
    </xf>
    <xf numFmtId="0" fontId="9" fillId="5" borderId="3" xfId="1" applyFont="1" applyFill="1" applyBorder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9" fillId="3" borderId="1" xfId="1" quotePrefix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5" fillId="0" borderId="0" xfId="1" applyFont="1" applyAlignment="1">
      <alignment horizontal="left" vertical="center" indent="1"/>
    </xf>
    <xf numFmtId="0" fontId="9" fillId="5" borderId="6" xfId="1" applyFont="1" applyFill="1" applyBorder="1" applyAlignment="1">
      <alignment horizontal="center" vertical="center"/>
    </xf>
    <xf numFmtId="0" fontId="15" fillId="2" borderId="0" xfId="1" applyFont="1" applyFill="1" applyAlignment="1">
      <alignment horizontal="right" vertical="center"/>
    </xf>
    <xf numFmtId="19" fontId="16" fillId="4" borderId="0" xfId="2" applyNumberFormat="1" applyFont="1" applyFill="1" applyBorder="1" applyAlignment="1">
      <alignment horizontal="center" vertical="center"/>
    </xf>
    <xf numFmtId="0" fontId="16" fillId="4" borderId="9" xfId="2" applyNumberFormat="1" applyFont="1" applyFill="1" applyBorder="1" applyAlignment="1">
      <alignment horizontal="center" vertical="center"/>
    </xf>
    <xf numFmtId="1" fontId="16" fillId="4" borderId="9" xfId="2" applyNumberFormat="1" applyFont="1" applyFill="1" applyBorder="1" applyAlignment="1">
      <alignment horizontal="center" vertical="center"/>
    </xf>
    <xf numFmtId="0" fontId="16" fillId="4" borderId="9" xfId="2" quotePrefix="1" applyNumberFormat="1" applyFont="1" applyFill="1" applyBorder="1" applyAlignment="1">
      <alignment horizontal="center" vertical="center"/>
    </xf>
    <xf numFmtId="0" fontId="8" fillId="4" borderId="0" xfId="1" applyFont="1" applyFill="1" applyBorder="1" applyAlignment="1">
      <alignment horizontal="right" vertical="center"/>
    </xf>
    <xf numFmtId="0" fontId="5" fillId="4" borderId="9" xfId="1" quotePrefix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left" vertical="center" indent="1"/>
    </xf>
    <xf numFmtId="0" fontId="9" fillId="0" borderId="0" xfId="1" applyFont="1" applyFill="1" applyBorder="1" applyAlignment="1">
      <alignment vertical="center"/>
    </xf>
    <xf numFmtId="0" fontId="12" fillId="5" borderId="2" xfId="1" applyFont="1" applyFill="1" applyBorder="1" applyAlignment="1">
      <alignment horizontal="center" vertical="center"/>
    </xf>
    <xf numFmtId="0" fontId="9" fillId="5" borderId="0" xfId="1" applyFont="1" applyFill="1" applyBorder="1" applyAlignment="1">
      <alignment horizontal="left" vertical="center" indent="1"/>
    </xf>
    <xf numFmtId="166" fontId="5" fillId="4" borderId="0" xfId="1" quotePrefix="1" applyNumberFormat="1" applyFont="1" applyFill="1" applyBorder="1" applyAlignment="1">
      <alignment horizontal="center" vertical="center"/>
    </xf>
    <xf numFmtId="0" fontId="5" fillId="4" borderId="9" xfId="1" applyNumberFormat="1" applyFont="1" applyFill="1" applyBorder="1" applyAlignment="1">
      <alignment horizontal="center" vertical="center"/>
    </xf>
    <xf numFmtId="166" fontId="5" fillId="4" borderId="0" xfId="1" quotePrefix="1" applyNumberFormat="1" applyFont="1" applyFill="1" applyBorder="1" applyAlignment="1">
      <alignment horizontal="left" vertical="center" indent="1"/>
    </xf>
    <xf numFmtId="21" fontId="5" fillId="4" borderId="0" xfId="1" applyNumberFormat="1" applyFont="1" applyFill="1" applyBorder="1" applyAlignment="1">
      <alignment horizontal="center" vertical="center"/>
    </xf>
    <xf numFmtId="167" fontId="5" fillId="4" borderId="3" xfId="1" quotePrefix="1" applyNumberFormat="1" applyFont="1" applyFill="1" applyBorder="1" applyAlignment="1">
      <alignment horizontal="left" vertical="center" indent="1"/>
    </xf>
    <xf numFmtId="18" fontId="8" fillId="2" borderId="0" xfId="1" applyNumberFormat="1" applyFont="1" applyFill="1" applyAlignment="1">
      <alignment vertical="center"/>
    </xf>
    <xf numFmtId="18" fontId="5" fillId="2" borderId="0" xfId="1" applyNumberFormat="1" applyFont="1" applyFill="1" applyAlignment="1">
      <alignment vertical="center"/>
    </xf>
    <xf numFmtId="0" fontId="5" fillId="4" borderId="9" xfId="1" quotePrefix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8" fillId="9" borderId="0" xfId="3" applyFont="1" applyFill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19" fillId="0" borderId="0" xfId="1" applyFont="1" applyAlignment="1">
      <alignment vertical="center"/>
    </xf>
    <xf numFmtId="0" fontId="9" fillId="5" borderId="0" xfId="3" applyFont="1" applyFill="1" applyBorder="1" applyAlignment="1">
      <alignment horizontal="center" vertical="center"/>
    </xf>
    <xf numFmtId="0" fontId="5" fillId="4" borderId="0" xfId="3" applyFont="1" applyFill="1" applyBorder="1" applyAlignment="1">
      <alignment horizontal="left" vertical="center" indent="1"/>
    </xf>
    <xf numFmtId="0" fontId="5" fillId="4" borderId="9" xfId="3" quotePrefix="1" applyFont="1" applyFill="1" applyBorder="1" applyAlignment="1">
      <alignment horizontal="left" vertical="center" indent="1"/>
    </xf>
    <xf numFmtId="0" fontId="5" fillId="4" borderId="0" xfId="3" quotePrefix="1" applyFont="1" applyFill="1" applyBorder="1" applyAlignment="1">
      <alignment horizontal="left" vertical="center" indent="1"/>
    </xf>
    <xf numFmtId="0" fontId="5" fillId="4" borderId="3" xfId="3" quotePrefix="1" applyFont="1" applyFill="1" applyBorder="1" applyAlignment="1">
      <alignment horizontal="left" vertical="center" indent="1"/>
    </xf>
    <xf numFmtId="0" fontId="12" fillId="5" borderId="0" xfId="3" applyFont="1" applyFill="1" applyBorder="1" applyAlignment="1">
      <alignment horizontal="center" vertical="center"/>
    </xf>
    <xf numFmtId="0" fontId="12" fillId="5" borderId="9" xfId="3" applyFont="1" applyFill="1" applyBorder="1" applyAlignment="1">
      <alignment horizontal="center" vertical="center"/>
    </xf>
    <xf numFmtId="37" fontId="5" fillId="4" borderId="0" xfId="3" applyNumberFormat="1" applyFont="1" applyFill="1" applyBorder="1" applyAlignment="1">
      <alignment vertical="center"/>
    </xf>
    <xf numFmtId="0" fontId="5" fillId="4" borderId="0" xfId="3" applyFont="1" applyFill="1" applyAlignment="1">
      <alignment vertical="center"/>
    </xf>
    <xf numFmtId="22" fontId="5" fillId="4" borderId="0" xfId="3" quotePrefix="1" applyNumberFormat="1" applyFont="1" applyFill="1" applyBorder="1" applyAlignment="1">
      <alignment horizontal="right" vertical="center" indent="1"/>
    </xf>
    <xf numFmtId="0" fontId="15" fillId="0" borderId="0" xfId="3" applyFont="1" applyBorder="1" applyAlignment="1">
      <alignment vertical="center"/>
    </xf>
    <xf numFmtId="0" fontId="9" fillId="5" borderId="9" xfId="3" applyFont="1" applyFill="1" applyBorder="1" applyAlignment="1">
      <alignment horizontal="center" vertical="center"/>
    </xf>
    <xf numFmtId="37" fontId="5" fillId="4" borderId="9" xfId="3" applyNumberFormat="1" applyFont="1" applyFill="1" applyBorder="1" applyAlignment="1">
      <alignment horizontal="right" vertical="center"/>
    </xf>
    <xf numFmtId="0" fontId="5" fillId="10" borderId="0" xfId="3" quotePrefix="1" applyFont="1" applyFill="1" applyBorder="1" applyAlignment="1">
      <alignment horizontal="left" vertical="center" indent="1"/>
    </xf>
    <xf numFmtId="0" fontId="5" fillId="10" borderId="0" xfId="3" applyFont="1" applyFill="1" applyAlignment="1">
      <alignment vertical="center"/>
    </xf>
    <xf numFmtId="0" fontId="22" fillId="0" borderId="0" xfId="4" quotePrefix="1" applyFont="1" applyAlignment="1" applyProtection="1">
      <alignment vertical="center"/>
    </xf>
    <xf numFmtId="0" fontId="9" fillId="5" borderId="13" xfId="1" applyFont="1" applyFill="1" applyBorder="1" applyAlignment="1">
      <alignment horizontal="center" vertical="center"/>
    </xf>
    <xf numFmtId="0" fontId="9" fillId="5" borderId="14" xfId="1" applyFont="1" applyFill="1" applyBorder="1" applyAlignment="1">
      <alignment horizontal="center" vertical="center"/>
    </xf>
    <xf numFmtId="0" fontId="9" fillId="5" borderId="0" xfId="1" applyFont="1" applyFill="1" applyBorder="1" applyAlignment="1">
      <alignment vertical="center"/>
    </xf>
    <xf numFmtId="3" fontId="5" fillId="10" borderId="0" xfId="1" applyNumberFormat="1" applyFont="1" applyFill="1" applyBorder="1" applyAlignment="1">
      <alignment horizontal="right" vertical="center" indent="1"/>
    </xf>
    <xf numFmtId="0" fontId="5" fillId="4" borderId="0" xfId="1" applyFont="1" applyFill="1" applyBorder="1" applyAlignment="1">
      <alignment horizontal="right" vertical="center" indent="1"/>
    </xf>
    <xf numFmtId="0" fontId="5" fillId="4" borderId="9" xfId="1" applyFont="1" applyFill="1" applyBorder="1" applyAlignment="1">
      <alignment horizontal="right" vertical="center" indent="1"/>
    </xf>
    <xf numFmtId="0" fontId="9" fillId="8" borderId="10" xfId="1" applyFont="1" applyFill="1" applyBorder="1" applyAlignment="1">
      <alignment horizontal="left" vertical="center" indent="1"/>
    </xf>
    <xf numFmtId="0" fontId="9" fillId="8" borderId="10" xfId="1" applyFont="1" applyFill="1" applyBorder="1" applyAlignment="1">
      <alignment vertical="center"/>
    </xf>
    <xf numFmtId="3" fontId="5" fillId="4" borderId="10" xfId="1" applyNumberFormat="1" applyFont="1" applyFill="1" applyBorder="1" applyAlignment="1">
      <alignment horizontal="right" vertical="center" indent="1"/>
    </xf>
    <xf numFmtId="0" fontId="8" fillId="0" borderId="10" xfId="1" applyFont="1" applyBorder="1" applyAlignment="1">
      <alignment vertical="center"/>
    </xf>
    <xf numFmtId="0" fontId="23" fillId="0" borderId="0" xfId="1" applyFont="1" applyAlignment="1">
      <alignment vertical="center"/>
    </xf>
    <xf numFmtId="0" fontId="9" fillId="8" borderId="9" xfId="1" applyFont="1" applyFill="1" applyBorder="1" applyAlignment="1">
      <alignment horizontal="center" vertical="center"/>
    </xf>
    <xf numFmtId="0" fontId="9" fillId="8" borderId="0" xfId="1" applyFont="1" applyFill="1" applyAlignment="1">
      <alignment horizontal="center" vertical="center"/>
    </xf>
    <xf numFmtId="14" fontId="5" fillId="4" borderId="0" xfId="1" applyNumberFormat="1" applyFont="1" applyFill="1" applyAlignment="1">
      <alignment horizontal="left" vertical="center" indent="1"/>
    </xf>
    <xf numFmtId="0" fontId="5" fillId="4" borderId="9" xfId="1" applyFont="1" applyFill="1" applyBorder="1" applyAlignment="1">
      <alignment horizontal="left" vertical="center" indent="1"/>
    </xf>
    <xf numFmtId="0" fontId="5" fillId="4" borderId="0" xfId="1" applyFont="1" applyFill="1" applyAlignment="1">
      <alignment horizontal="left" vertical="center" indent="1"/>
    </xf>
    <xf numFmtId="22" fontId="5" fillId="4" borderId="0" xfId="1" applyNumberFormat="1" applyFont="1" applyFill="1" applyAlignment="1">
      <alignment horizontal="left" vertical="center" indent="1"/>
    </xf>
    <xf numFmtId="0" fontId="24" fillId="0" borderId="0" xfId="1" applyFont="1" applyAlignment="1">
      <alignment vertical="center"/>
    </xf>
    <xf numFmtId="0" fontId="5" fillId="4" borderId="0" xfId="1" applyFont="1" applyFill="1" applyAlignment="1">
      <alignment horizontal="center" vertical="center"/>
    </xf>
    <xf numFmtId="0" fontId="22" fillId="7" borderId="3" xfId="1" applyFont="1" applyFill="1" applyBorder="1" applyAlignment="1">
      <alignment horizontal="left" vertical="center" indent="1"/>
    </xf>
    <xf numFmtId="0" fontId="22" fillId="0" borderId="0" xfId="1" quotePrefix="1" applyFont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14" fontId="5" fillId="10" borderId="0" xfId="1" applyNumberFormat="1" applyFont="1" applyFill="1" applyAlignment="1">
      <alignment horizontal="center" vertical="center"/>
    </xf>
    <xf numFmtId="0" fontId="5" fillId="10" borderId="3" xfId="1" applyFont="1" applyFill="1" applyBorder="1" applyAlignment="1">
      <alignment horizontal="left" vertical="center" indent="1"/>
    </xf>
    <xf numFmtId="0" fontId="22" fillId="0" borderId="0" xfId="1" quotePrefix="1" applyFont="1" applyAlignment="1">
      <alignment vertical="center"/>
    </xf>
    <xf numFmtId="0" fontId="12" fillId="5" borderId="0" xfId="1" applyFont="1" applyFill="1" applyBorder="1" applyAlignment="1">
      <alignment horizontal="left" vertical="center" indent="1"/>
    </xf>
    <xf numFmtId="0" fontId="22" fillId="4" borderId="9" xfId="1" applyFont="1" applyFill="1" applyBorder="1" applyAlignment="1">
      <alignment horizontal="center" vertical="center"/>
    </xf>
    <xf numFmtId="0" fontId="22" fillId="7" borderId="0" xfId="1" quotePrefix="1" applyFont="1" applyFill="1" applyBorder="1" applyAlignment="1">
      <alignment horizontal="center" vertical="center"/>
    </xf>
    <xf numFmtId="0" fontId="26" fillId="0" borderId="0" xfId="1" applyFont="1" applyAlignment="1">
      <alignment horizontal="left" vertical="center"/>
    </xf>
    <xf numFmtId="0" fontId="27" fillId="0" borderId="0" xfId="1" applyFont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2" fillId="0" borderId="0" xfId="5" quotePrefix="1" applyFont="1" applyAlignment="1">
      <alignment vertical="center"/>
    </xf>
    <xf numFmtId="0" fontId="9" fillId="5" borderId="0" xfId="5" applyFont="1" applyFill="1" applyAlignment="1">
      <alignment horizontal="left" vertical="center" indent="1"/>
    </xf>
    <xf numFmtId="0" fontId="10" fillId="0" borderId="0" xfId="5" applyFont="1" applyAlignment="1">
      <alignment vertical="center"/>
    </xf>
    <xf numFmtId="0" fontId="9" fillId="5" borderId="0" xfId="5" applyFont="1" applyFill="1" applyAlignment="1">
      <alignment horizontal="center" vertical="center"/>
    </xf>
    <xf numFmtId="0" fontId="9" fillId="5" borderId="9" xfId="5" applyFont="1" applyFill="1" applyBorder="1" applyAlignment="1">
      <alignment horizontal="center" vertical="center"/>
    </xf>
    <xf numFmtId="0" fontId="22" fillId="4" borderId="3" xfId="5" applyFont="1" applyFill="1" applyBorder="1" applyAlignment="1">
      <alignment vertical="center"/>
    </xf>
    <xf numFmtId="0" fontId="22" fillId="4" borderId="15" xfId="5" applyFont="1" applyFill="1" applyBorder="1" applyAlignment="1">
      <alignment vertical="center"/>
    </xf>
    <xf numFmtId="0" fontId="22" fillId="4" borderId="0" xfId="5" quotePrefix="1" applyFont="1" applyFill="1" applyAlignment="1">
      <alignment vertical="center"/>
    </xf>
    <xf numFmtId="0" fontId="22" fillId="4" borderId="0" xfId="5" applyFont="1" applyFill="1" applyAlignment="1">
      <alignment vertical="center"/>
    </xf>
    <xf numFmtId="0" fontId="29" fillId="0" borderId="0" xfId="5" applyFont="1" applyAlignment="1">
      <alignment vertical="center"/>
    </xf>
    <xf numFmtId="0" fontId="22" fillId="4" borderId="0" xfId="5" applyFont="1" applyFill="1" applyAlignment="1">
      <alignment horizontal="center" vertical="center"/>
    </xf>
    <xf numFmtId="0" fontId="22" fillId="4" borderId="9" xfId="5" applyFont="1" applyFill="1" applyBorder="1" applyAlignment="1">
      <alignment horizontal="left" vertical="center" indent="1"/>
    </xf>
    <xf numFmtId="0" fontId="30" fillId="0" borderId="0" xfId="5" applyFont="1" applyAlignment="1">
      <alignment vertical="center"/>
    </xf>
    <xf numFmtId="0" fontId="31" fillId="0" borderId="0" xfId="5" applyFont="1" applyAlignment="1">
      <alignment vertical="center"/>
    </xf>
    <xf numFmtId="0" fontId="0" fillId="0" borderId="0" xfId="0" applyAlignment="1">
      <alignment vertical="center"/>
    </xf>
    <xf numFmtId="170" fontId="0" fillId="0" borderId="0" xfId="0" applyNumberFormat="1" applyAlignment="1">
      <alignment vertical="center"/>
    </xf>
    <xf numFmtId="0" fontId="19" fillId="0" borderId="0" xfId="0" applyFont="1" applyAlignment="1">
      <alignment vertical="center"/>
    </xf>
    <xf numFmtId="170" fontId="5" fillId="4" borderId="0" xfId="1" applyNumberFormat="1" applyFont="1" applyFill="1" applyAlignment="1">
      <alignment vertical="center"/>
    </xf>
    <xf numFmtId="0" fontId="9" fillId="12" borderId="0" xfId="1" applyFont="1" applyFill="1" applyAlignment="1">
      <alignment horizontal="center" vertical="center"/>
    </xf>
    <xf numFmtId="0" fontId="9" fillId="12" borderId="9" xfId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170" fontId="0" fillId="4" borderId="3" xfId="0" applyNumberFormat="1" applyFill="1" applyBorder="1" applyAlignment="1">
      <alignment vertical="center"/>
    </xf>
    <xf numFmtId="0" fontId="0" fillId="13" borderId="0" xfId="0" applyFill="1" applyAlignment="1">
      <alignment horizontal="left" vertical="center" indent="2"/>
    </xf>
    <xf numFmtId="0" fontId="33" fillId="0" borderId="0" xfId="0" applyFont="1" applyAlignment="1">
      <alignment horizontal="left" vertical="center" indent="1"/>
    </xf>
    <xf numFmtId="170" fontId="0" fillId="13" borderId="4" xfId="0" applyNumberFormat="1" applyFill="1" applyBorder="1" applyAlignment="1">
      <alignment horizontal="left" vertical="center" indent="1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9" fillId="12" borderId="2" xfId="0" applyFont="1" applyFill="1" applyBorder="1" applyAlignment="1">
      <alignment vertical="center"/>
    </xf>
    <xf numFmtId="0" fontId="5" fillId="7" borderId="3" xfId="1" applyFont="1" applyFill="1" applyBorder="1" applyAlignment="1">
      <alignment horizontal="left" vertical="center" indent="1"/>
    </xf>
    <xf numFmtId="170" fontId="5" fillId="4" borderId="16" xfId="1" applyNumberFormat="1" applyFont="1" applyFill="1" applyBorder="1" applyAlignment="1">
      <alignment vertical="center"/>
    </xf>
    <xf numFmtId="170" fontId="5" fillId="4" borderId="17" xfId="1" applyNumberFormat="1" applyFont="1" applyFill="1" applyBorder="1" applyAlignment="1">
      <alignment vertical="center"/>
    </xf>
    <xf numFmtId="170" fontId="5" fillId="4" borderId="18" xfId="1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9" fillId="12" borderId="0" xfId="0" applyFont="1" applyFill="1" applyAlignment="1">
      <alignment horizontal="left" vertical="center"/>
    </xf>
    <xf numFmtId="0" fontId="0" fillId="14" borderId="3" xfId="0" applyFill="1" applyBorder="1" applyAlignment="1">
      <alignment horizontal="left" vertical="center" indent="1"/>
    </xf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9" fillId="5" borderId="0" xfId="1" applyFont="1" applyFill="1" applyAlignment="1">
      <alignment vertical="center"/>
    </xf>
    <xf numFmtId="171" fontId="5" fillId="4" borderId="3" xfId="1" applyNumberFormat="1" applyFont="1" applyFill="1" applyBorder="1" applyAlignment="1">
      <alignment horizontal="right" vertical="center" indent="1"/>
    </xf>
    <xf numFmtId="0" fontId="5" fillId="2" borderId="19" xfId="1" applyFont="1" applyFill="1" applyBorder="1" applyAlignment="1">
      <alignment horizontal="center" vertical="center"/>
    </xf>
    <xf numFmtId="3" fontId="5" fillId="4" borderId="3" xfId="1" applyNumberFormat="1" applyFont="1" applyFill="1" applyBorder="1" applyAlignment="1">
      <alignment horizontal="right" vertical="center" indent="1"/>
    </xf>
    <xf numFmtId="0" fontId="5" fillId="4" borderId="0" xfId="1" applyFont="1" applyFill="1" applyAlignment="1">
      <alignment horizontal="left" vertical="center" indent="2"/>
    </xf>
    <xf numFmtId="0" fontId="5" fillId="4" borderId="19" xfId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left" vertical="center" indent="2"/>
    </xf>
    <xf numFmtId="3" fontId="5" fillId="4" borderId="3" xfId="2" applyNumberFormat="1" applyFont="1" applyFill="1" applyBorder="1" applyAlignment="1">
      <alignment horizontal="right" vertical="center" indent="1"/>
    </xf>
    <xf numFmtId="0" fontId="5" fillId="6" borderId="5" xfId="1" applyFont="1" applyFill="1" applyBorder="1" applyAlignment="1">
      <alignment vertical="center"/>
    </xf>
    <xf numFmtId="0" fontId="12" fillId="6" borderId="7" xfId="1" applyFont="1" applyFill="1" applyBorder="1" applyAlignment="1">
      <alignment horizontal="right" vertical="center" indent="1"/>
    </xf>
    <xf numFmtId="10" fontId="5" fillId="7" borderId="5" xfId="7" quotePrefix="1" applyNumberFormat="1" applyFont="1" applyFill="1" applyBorder="1" applyAlignment="1">
      <alignment horizontal="center" vertical="center"/>
    </xf>
    <xf numFmtId="0" fontId="15" fillId="6" borderId="3" xfId="1" applyFont="1" applyFill="1" applyBorder="1" applyAlignment="1">
      <alignment horizontal="left" vertical="center"/>
    </xf>
    <xf numFmtId="0" fontId="12" fillId="6" borderId="0" xfId="1" applyFont="1" applyFill="1" applyBorder="1" applyAlignment="1">
      <alignment horizontal="right" vertical="center" indent="1"/>
    </xf>
    <xf numFmtId="172" fontId="5" fillId="7" borderId="3" xfId="2" quotePrefix="1" applyNumberFormat="1" applyFont="1" applyFill="1" applyBorder="1" applyAlignment="1">
      <alignment horizontal="center" vertical="center"/>
    </xf>
    <xf numFmtId="0" fontId="5" fillId="2" borderId="0" xfId="1" applyFont="1" applyFill="1" applyBorder="1" applyAlignment="1"/>
    <xf numFmtId="0" fontId="5" fillId="0" borderId="0" xfId="1" quotePrefix="1" applyFont="1" applyAlignment="1"/>
    <xf numFmtId="0" fontId="36" fillId="0" borderId="0" xfId="0" applyFont="1" applyAlignment="1">
      <alignment vertical="center"/>
    </xf>
    <xf numFmtId="175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9" fillId="11" borderId="9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left" vertical="center" indent="1"/>
    </xf>
    <xf numFmtId="0" fontId="9" fillId="12" borderId="0" xfId="0" applyFont="1" applyFill="1" applyAlignment="1">
      <alignment horizontal="left" vertical="center" indent="1"/>
    </xf>
    <xf numFmtId="0" fontId="9" fillId="12" borderId="0" xfId="0" applyFont="1" applyFill="1" applyAlignment="1">
      <alignment vertical="center"/>
    </xf>
    <xf numFmtId="173" fontId="0" fillId="4" borderId="3" xfId="0" applyNumberFormat="1" applyFill="1" applyBorder="1" applyAlignment="1">
      <alignment vertical="center"/>
    </xf>
    <xf numFmtId="170" fontId="0" fillId="10" borderId="3" xfId="0" applyNumberFormat="1" applyFill="1" applyBorder="1" applyAlignment="1">
      <alignment vertical="center"/>
    </xf>
    <xf numFmtId="176" fontId="0" fillId="10" borderId="3" xfId="0" applyNumberFormat="1" applyFill="1" applyBorder="1" applyAlignment="1">
      <alignment vertical="center"/>
    </xf>
    <xf numFmtId="0" fontId="9" fillId="11" borderId="0" xfId="0" applyFont="1" applyFill="1" applyBorder="1" applyAlignment="1">
      <alignment horizontal="left" vertical="center" indent="1"/>
    </xf>
    <xf numFmtId="0" fontId="9" fillId="11" borderId="0" xfId="0" applyFont="1" applyFill="1" applyBorder="1" applyAlignment="1">
      <alignment vertical="center"/>
    </xf>
    <xf numFmtId="0" fontId="9" fillId="11" borderId="2" xfId="0" applyFont="1" applyFill="1" applyBorder="1" applyAlignment="1">
      <alignment horizontal="left" vertical="center" indent="1"/>
    </xf>
    <xf numFmtId="0" fontId="9" fillId="11" borderId="2" xfId="0" applyFont="1" applyFill="1" applyBorder="1" applyAlignment="1">
      <alignment vertical="center"/>
    </xf>
    <xf numFmtId="174" fontId="0" fillId="4" borderId="4" xfId="0" applyNumberFormat="1" applyFill="1" applyBorder="1" applyAlignment="1">
      <alignment vertical="center"/>
    </xf>
    <xf numFmtId="0" fontId="9" fillId="12" borderId="0" xfId="1" applyFont="1" applyFill="1" applyAlignment="1">
      <alignment horizontal="left" vertical="center" indent="1"/>
    </xf>
    <xf numFmtId="0" fontId="9" fillId="12" borderId="2" xfId="1" applyFont="1" applyFill="1" applyBorder="1" applyAlignment="1">
      <alignment horizontal="left" vertical="center" indent="1"/>
    </xf>
    <xf numFmtId="164" fontId="5" fillId="10" borderId="3" xfId="1" quotePrefix="1" applyNumberFormat="1" applyFont="1" applyFill="1" applyBorder="1" applyAlignment="1">
      <alignment horizontal="left" vertical="center" indent="1"/>
    </xf>
    <xf numFmtId="164" fontId="5" fillId="10" borderId="3" xfId="1" applyNumberFormat="1" applyFont="1" applyFill="1" applyBorder="1" applyAlignment="1">
      <alignment horizontal="left" vertical="center" indent="1"/>
    </xf>
    <xf numFmtId="0" fontId="3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4" applyFont="1" applyAlignment="1" applyProtection="1">
      <alignment horizontal="left" vertical="center"/>
    </xf>
    <xf numFmtId="0" fontId="5" fillId="0" borderId="0" xfId="4" quotePrefix="1" applyFont="1" applyAlignment="1" applyProtection="1">
      <alignment horizontal="left" vertical="center"/>
    </xf>
    <xf numFmtId="0" fontId="12" fillId="5" borderId="0" xfId="1" applyFont="1" applyFill="1" applyAlignment="1">
      <alignment horizontal="left" vertical="center" indent="1"/>
    </xf>
    <xf numFmtId="0" fontId="5" fillId="7" borderId="3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5" fillId="5" borderId="2" xfId="1" applyFont="1" applyFill="1" applyBorder="1" applyAlignment="1">
      <alignment vertical="center"/>
    </xf>
    <xf numFmtId="177" fontId="5" fillId="7" borderId="4" xfId="1" applyNumberFormat="1" applyFont="1" applyFill="1" applyBorder="1" applyAlignment="1">
      <alignment horizontal="right" vertical="center"/>
    </xf>
    <xf numFmtId="0" fontId="9" fillId="0" borderId="0" xfId="1" applyFont="1" applyAlignment="1">
      <alignment vertical="center"/>
    </xf>
    <xf numFmtId="178" fontId="5" fillId="4" borderId="3" xfId="1" quotePrefix="1" applyNumberFormat="1" applyFont="1" applyFill="1" applyBorder="1" applyAlignment="1">
      <alignment horizontal="right" vertical="center"/>
    </xf>
    <xf numFmtId="0" fontId="12" fillId="6" borderId="21" xfId="1" applyFont="1" applyFill="1" applyBorder="1" applyAlignment="1">
      <alignment vertical="center" wrapText="1"/>
    </xf>
    <xf numFmtId="0" fontId="12" fillId="6" borderId="23" xfId="1" applyFont="1" applyFill="1" applyBorder="1" applyAlignment="1">
      <alignment horizontal="center" vertical="center" wrapText="1"/>
    </xf>
    <xf numFmtId="0" fontId="9" fillId="5" borderId="0" xfId="1" applyNumberFormat="1" applyFont="1" applyFill="1" applyAlignment="1">
      <alignment horizontal="center" vertical="center"/>
    </xf>
    <xf numFmtId="0" fontId="9" fillId="5" borderId="24" xfId="1" applyNumberFormat="1" applyFont="1" applyFill="1" applyBorder="1" applyAlignment="1">
      <alignment horizontal="center" vertical="center"/>
    </xf>
    <xf numFmtId="0" fontId="9" fillId="5" borderId="25" xfId="1" applyNumberFormat="1" applyFont="1" applyFill="1" applyBorder="1" applyAlignment="1">
      <alignment horizontal="center" vertical="center"/>
    </xf>
    <xf numFmtId="0" fontId="9" fillId="5" borderId="0" xfId="1" applyNumberFormat="1" applyFont="1" applyFill="1" applyBorder="1" applyAlignment="1">
      <alignment horizontal="center" vertical="center"/>
    </xf>
    <xf numFmtId="177" fontId="9" fillId="5" borderId="0" xfId="1" applyNumberFormat="1" applyFont="1" applyFill="1" applyAlignment="1">
      <alignment horizontal="center" vertical="center"/>
    </xf>
    <xf numFmtId="178" fontId="5" fillId="0" borderId="26" xfId="1" applyNumberFormat="1" applyFont="1" applyBorder="1" applyAlignment="1">
      <alignment vertical="center"/>
    </xf>
    <xf numFmtId="178" fontId="5" fillId="0" borderId="26" xfId="1" quotePrefix="1" applyNumberFormat="1" applyFont="1" applyBorder="1" applyAlignment="1">
      <alignment vertical="center"/>
    </xf>
    <xf numFmtId="177" fontId="9" fillId="5" borderId="27" xfId="1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left" vertical="center" indent="1"/>
    </xf>
    <xf numFmtId="0" fontId="35" fillId="13" borderId="4" xfId="0" applyFont="1" applyFill="1" applyBorder="1" applyAlignment="1">
      <alignment horizontal="left" vertical="center" indent="1"/>
    </xf>
    <xf numFmtId="0" fontId="38" fillId="0" borderId="0" xfId="0" applyFont="1" applyAlignment="1">
      <alignment vertical="center"/>
    </xf>
    <xf numFmtId="0" fontId="15" fillId="0" borderId="0" xfId="1" applyFont="1" applyAlignment="1"/>
    <xf numFmtId="170" fontId="0" fillId="7" borderId="3" xfId="0" applyNumberFormat="1" applyFill="1" applyBorder="1" applyAlignment="1">
      <alignment vertical="center"/>
    </xf>
    <xf numFmtId="0" fontId="9" fillId="12" borderId="0" xfId="0" applyFont="1" applyFill="1" applyBorder="1" applyAlignment="1">
      <alignment horizontal="left" vertical="center" indent="1"/>
    </xf>
    <xf numFmtId="0" fontId="9" fillId="12" borderId="2" xfId="0" applyFont="1" applyFill="1" applyBorder="1" applyAlignment="1">
      <alignment horizontal="left" vertical="center" indent="1"/>
    </xf>
    <xf numFmtId="170" fontId="0" fillId="4" borderId="4" xfId="0" applyNumberForma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2" fillId="10" borderId="3" xfId="0" applyFont="1" applyFill="1" applyBorder="1" applyAlignment="1">
      <alignment horizontal="left" vertical="center" indent="1"/>
    </xf>
    <xf numFmtId="0" fontId="15" fillId="0" borderId="0" xfId="0" applyFont="1" applyAlignment="1">
      <alignment vertical="center"/>
    </xf>
    <xf numFmtId="0" fontId="9" fillId="5" borderId="11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2" fillId="5" borderId="2" xfId="1" applyFont="1" applyFill="1" applyBorder="1" applyAlignment="1">
      <alignment horizontal="center" vertical="center" wrapText="1"/>
    </xf>
    <xf numFmtId="0" fontId="12" fillId="5" borderId="0" xfId="1" applyFont="1" applyFill="1" applyBorder="1" applyAlignment="1">
      <alignment horizontal="left" vertical="center" wrapText="1" indent="1"/>
    </xf>
    <xf numFmtId="0" fontId="5" fillId="4" borderId="3" xfId="1" quotePrefix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vertical="center"/>
    </xf>
    <xf numFmtId="0" fontId="34" fillId="2" borderId="0" xfId="1" applyFont="1" applyFill="1" applyBorder="1" applyAlignment="1">
      <alignment horizontal="center" vertical="center"/>
    </xf>
    <xf numFmtId="0" fontId="5" fillId="10" borderId="0" xfId="1" applyFont="1" applyFill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23" fillId="2" borderId="0" xfId="1" applyFont="1" applyFill="1" applyBorder="1" applyAlignment="1">
      <alignment horizontal="right" vertical="center"/>
    </xf>
    <xf numFmtId="0" fontId="5" fillId="2" borderId="0" xfId="1" applyFont="1" applyFill="1" applyAlignment="1">
      <alignment horizontal="left" vertical="center" indent="1"/>
    </xf>
    <xf numFmtId="0" fontId="5" fillId="2" borderId="0" xfId="1" applyFont="1" applyFill="1" applyAlignment="1">
      <alignment horizontal="right"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vertical="center"/>
    </xf>
    <xf numFmtId="0" fontId="9" fillId="8" borderId="0" xfId="9" applyFont="1" applyFill="1" applyBorder="1" applyAlignment="1">
      <alignment horizontal="left" vertical="center" indent="1"/>
    </xf>
    <xf numFmtId="0" fontId="9" fillId="8" borderId="0" xfId="9" applyFont="1" applyFill="1" applyBorder="1" applyAlignment="1">
      <alignment vertical="center"/>
    </xf>
    <xf numFmtId="0" fontId="9" fillId="8" borderId="0" xfId="9" applyFont="1" applyFill="1" applyBorder="1" applyAlignment="1">
      <alignment horizontal="right" vertical="center" indent="1"/>
    </xf>
    <xf numFmtId="0" fontId="5" fillId="4" borderId="3" xfId="9" applyFont="1" applyFill="1" applyBorder="1" applyAlignment="1">
      <alignment horizontal="left" vertical="center" indent="1"/>
    </xf>
    <xf numFmtId="0" fontId="5" fillId="0" borderId="0" xfId="9" applyFont="1" applyAlignment="1">
      <alignment horizontal="center" vertical="center"/>
    </xf>
    <xf numFmtId="0" fontId="38" fillId="0" borderId="0" xfId="9" applyFont="1" applyAlignment="1">
      <alignment vertical="center"/>
    </xf>
    <xf numFmtId="0" fontId="5" fillId="4" borderId="4" xfId="9" applyFont="1" applyFill="1" applyBorder="1" applyAlignment="1">
      <alignment horizontal="left" vertical="center" indent="1"/>
    </xf>
    <xf numFmtId="0" fontId="12" fillId="5" borderId="33" xfId="10" applyFont="1" applyFill="1" applyBorder="1" applyAlignment="1">
      <alignment vertical="center"/>
    </xf>
    <xf numFmtId="0" fontId="12" fillId="5" borderId="34" xfId="10" applyFont="1" applyFill="1" applyBorder="1" applyAlignment="1">
      <alignment vertical="center"/>
    </xf>
    <xf numFmtId="0" fontId="12" fillId="5" borderId="35" xfId="10" applyFont="1" applyFill="1" applyBorder="1" applyAlignment="1">
      <alignment horizontal="center" vertical="center"/>
    </xf>
    <xf numFmtId="177" fontId="5" fillId="4" borderId="20" xfId="10" applyNumberFormat="1" applyFont="1" applyFill="1" applyBorder="1" applyAlignment="1">
      <alignment horizontal="center" vertical="center"/>
    </xf>
    <xf numFmtId="177" fontId="5" fillId="4" borderId="0" xfId="10" applyNumberFormat="1" applyFont="1" applyFill="1" applyBorder="1" applyAlignment="1">
      <alignment horizontal="center" vertical="center"/>
    </xf>
    <xf numFmtId="0" fontId="5" fillId="4" borderId="20" xfId="10" applyFont="1" applyFill="1" applyBorder="1" applyAlignment="1">
      <alignment horizontal="left" vertical="center" indent="1"/>
    </xf>
    <xf numFmtId="3" fontId="5" fillId="4" borderId="36" xfId="11" applyNumberFormat="1" applyFont="1" applyFill="1" applyBorder="1" applyAlignment="1">
      <alignment horizontal="right" vertical="center" indent="1"/>
    </xf>
    <xf numFmtId="0" fontId="5" fillId="4" borderId="0" xfId="9" quotePrefix="1" applyFont="1" applyFill="1" applyAlignment="1">
      <alignment horizontal="right" vertical="center" indent="2"/>
    </xf>
    <xf numFmtId="0" fontId="8" fillId="0" borderId="0" xfId="9" applyFont="1" applyAlignment="1">
      <alignment vertical="center"/>
    </xf>
    <xf numFmtId="177" fontId="5" fillId="4" borderId="15" xfId="10" applyNumberFormat="1" applyFont="1" applyFill="1" applyBorder="1" applyAlignment="1">
      <alignment horizontal="center" vertical="center"/>
    </xf>
    <xf numFmtId="0" fontId="5" fillId="4" borderId="15" xfId="10" applyFont="1" applyFill="1" applyBorder="1" applyAlignment="1">
      <alignment horizontal="left" vertical="center" indent="1"/>
    </xf>
    <xf numFmtId="3" fontId="5" fillId="4" borderId="9" xfId="12" applyNumberFormat="1" applyFont="1" applyFill="1" applyBorder="1" applyAlignment="1">
      <alignment horizontal="right" vertical="center" indent="1"/>
    </xf>
    <xf numFmtId="0" fontId="5" fillId="4" borderId="0" xfId="9" applyFont="1" applyFill="1" applyAlignment="1">
      <alignment horizontal="right" vertical="center" indent="2"/>
    </xf>
    <xf numFmtId="3" fontId="5" fillId="4" borderId="9" xfId="11" applyNumberFormat="1" applyFont="1" applyFill="1" applyBorder="1" applyAlignment="1">
      <alignment horizontal="right" vertical="center" indent="1"/>
    </xf>
    <xf numFmtId="177" fontId="5" fillId="4" borderId="37" xfId="10" applyNumberFormat="1" applyFont="1" applyFill="1" applyBorder="1" applyAlignment="1">
      <alignment horizontal="center" vertical="center"/>
    </xf>
    <xf numFmtId="177" fontId="5" fillId="4" borderId="2" xfId="10" applyNumberFormat="1" applyFont="1" applyFill="1" applyBorder="1" applyAlignment="1">
      <alignment horizontal="center" vertical="center"/>
    </xf>
    <xf numFmtId="0" fontId="5" fillId="4" borderId="37" xfId="10" applyFont="1" applyFill="1" applyBorder="1" applyAlignment="1">
      <alignment horizontal="left" vertical="center" indent="1"/>
    </xf>
    <xf numFmtId="3" fontId="5" fillId="4" borderId="6" xfId="12" applyNumberFormat="1" applyFont="1" applyFill="1" applyBorder="1" applyAlignment="1">
      <alignment horizontal="right" vertical="center" indent="1"/>
    </xf>
    <xf numFmtId="0" fontId="5" fillId="4" borderId="2" xfId="9" applyFont="1" applyFill="1" applyBorder="1" applyAlignment="1">
      <alignment horizontal="right" vertical="center" indent="2"/>
    </xf>
    <xf numFmtId="0" fontId="5" fillId="8" borderId="0" xfId="10" applyFont="1" applyFill="1" applyBorder="1" applyAlignment="1">
      <alignment vertical="center"/>
    </xf>
    <xf numFmtId="0" fontId="9" fillId="8" borderId="0" xfId="10" applyFont="1" applyFill="1" applyBorder="1" applyAlignment="1">
      <alignment horizontal="right" vertical="center" indent="1"/>
    </xf>
    <xf numFmtId="3" fontId="5" fillId="10" borderId="0" xfId="10" applyNumberFormat="1" applyFont="1" applyFill="1" applyBorder="1" applyAlignment="1">
      <alignment horizontal="right" vertical="center" indent="1"/>
    </xf>
    <xf numFmtId="0" fontId="5" fillId="7" borderId="0" xfId="9" applyFont="1" applyFill="1" applyAlignment="1">
      <alignment vertical="center"/>
    </xf>
    <xf numFmtId="0" fontId="40" fillId="0" borderId="0" xfId="1" applyFont="1" applyAlignment="1">
      <alignment vertical="center"/>
    </xf>
    <xf numFmtId="0" fontId="15" fillId="7" borderId="0" xfId="1" applyFont="1" applyFill="1" applyAlignment="1">
      <alignment horizontal="center" vertical="center"/>
    </xf>
    <xf numFmtId="0" fontId="5" fillId="7" borderId="3" xfId="1" applyFont="1" applyFill="1" applyBorder="1" applyAlignment="1">
      <alignment horizontal="center" vertical="center"/>
    </xf>
    <xf numFmtId="0" fontId="5" fillId="7" borderId="16" xfId="1" applyFont="1" applyFill="1" applyBorder="1" applyAlignment="1">
      <alignment horizontal="left" vertical="center" indent="1"/>
    </xf>
    <xf numFmtId="179" fontId="5" fillId="7" borderId="15" xfId="1" applyNumberFormat="1" applyFont="1" applyFill="1" applyBorder="1" applyAlignment="1">
      <alignment horizontal="center" vertical="center"/>
    </xf>
    <xf numFmtId="0" fontId="5" fillId="7" borderId="0" xfId="1" applyFont="1" applyFill="1" applyBorder="1" applyAlignment="1">
      <alignment horizontal="left" vertical="center" indent="1"/>
    </xf>
    <xf numFmtId="0" fontId="5" fillId="7" borderId="17" xfId="1" applyFont="1" applyFill="1" applyBorder="1" applyAlignment="1">
      <alignment horizontal="left" vertical="center" indent="1"/>
    </xf>
    <xf numFmtId="0" fontId="9" fillId="5" borderId="0" xfId="1" applyFont="1" applyFill="1" applyBorder="1" applyAlignment="1">
      <alignment horizontal="left" vertical="center"/>
    </xf>
    <xf numFmtId="0" fontId="5" fillId="7" borderId="0" xfId="1" applyFont="1" applyFill="1" applyBorder="1" applyAlignment="1">
      <alignment horizontal="center" vertical="center"/>
    </xf>
    <xf numFmtId="0" fontId="9" fillId="5" borderId="0" xfId="1" applyFont="1" applyFill="1" applyBorder="1" applyAlignment="1">
      <alignment horizontal="center" vertical="center"/>
    </xf>
    <xf numFmtId="0" fontId="5" fillId="7" borderId="0" xfId="1" quotePrefix="1" applyFont="1" applyFill="1" applyBorder="1" applyAlignment="1">
      <alignment horizontal="center" vertical="center"/>
    </xf>
    <xf numFmtId="0" fontId="5" fillId="7" borderId="18" xfId="1" applyFont="1" applyFill="1" applyBorder="1" applyAlignment="1">
      <alignment horizontal="left" vertical="center" indent="1"/>
    </xf>
    <xf numFmtId="0" fontId="5" fillId="2" borderId="0" xfId="13" applyFont="1" applyFill="1" applyAlignment="1">
      <alignment vertical="center"/>
    </xf>
    <xf numFmtId="0" fontId="39" fillId="0" borderId="0" xfId="14" applyFont="1"/>
    <xf numFmtId="0" fontId="5" fillId="0" borderId="0" xfId="1" quotePrefix="1" applyFont="1" applyFill="1" applyBorder="1" applyAlignment="1">
      <alignment vertical="center"/>
    </xf>
    <xf numFmtId="0" fontId="5" fillId="0" borderId="0" xfId="13" applyFont="1" applyFill="1" applyBorder="1" applyAlignment="1">
      <alignment vertical="center"/>
    </xf>
    <xf numFmtId="0" fontId="40" fillId="0" borderId="0" xfId="14" applyFont="1" applyBorder="1" applyAlignment="1"/>
    <xf numFmtId="0" fontId="5" fillId="2" borderId="0" xfId="13" applyFont="1" applyFill="1" applyBorder="1" applyAlignment="1">
      <alignment vertical="center"/>
    </xf>
    <xf numFmtId="0" fontId="40" fillId="2" borderId="0" xfId="13" applyFont="1" applyFill="1" applyAlignment="1"/>
    <xf numFmtId="0" fontId="12" fillId="5" borderId="11" xfId="13" applyFont="1" applyFill="1" applyBorder="1" applyAlignment="1">
      <alignment horizontal="left" vertical="center"/>
    </xf>
    <xf numFmtId="0" fontId="5" fillId="4" borderId="11" xfId="13" applyFont="1" applyFill="1" applyBorder="1" applyAlignment="1">
      <alignment horizontal="center" vertical="center"/>
    </xf>
    <xf numFmtId="0" fontId="38" fillId="2" borderId="0" xfId="13" applyFont="1" applyFill="1" applyAlignment="1">
      <alignment vertical="center"/>
    </xf>
    <xf numFmtId="0" fontId="12" fillId="5" borderId="0" xfId="13" applyFont="1" applyFill="1" applyBorder="1" applyAlignment="1">
      <alignment horizontal="center" vertical="center"/>
    </xf>
    <xf numFmtId="0" fontId="12" fillId="5" borderId="38" xfId="13" applyFont="1" applyFill="1" applyBorder="1" applyAlignment="1">
      <alignment horizontal="center" vertical="center"/>
    </xf>
    <xf numFmtId="0" fontId="12" fillId="5" borderId="34" xfId="13" applyFont="1" applyFill="1" applyBorder="1" applyAlignment="1">
      <alignment horizontal="center" vertical="center"/>
    </xf>
    <xf numFmtId="0" fontId="5" fillId="4" borderId="33" xfId="13" quotePrefix="1" applyFont="1" applyFill="1" applyBorder="1" applyAlignment="1">
      <alignment horizontal="center" vertical="center"/>
    </xf>
    <xf numFmtId="0" fontId="27" fillId="2" borderId="0" xfId="13" applyFont="1" applyFill="1" applyAlignment="1">
      <alignment vertical="center"/>
    </xf>
    <xf numFmtId="0" fontId="5" fillId="4" borderId="0" xfId="13" applyFont="1" applyFill="1" applyBorder="1" applyAlignment="1">
      <alignment horizontal="right" vertical="center" indent="1"/>
    </xf>
    <xf numFmtId="37" fontId="5" fillId="7" borderId="9" xfId="12" applyNumberFormat="1" applyFont="1" applyFill="1" applyBorder="1" applyAlignment="1">
      <alignment horizontal="right" vertical="center" indent="1"/>
    </xf>
    <xf numFmtId="37" fontId="5" fillId="7" borderId="0" xfId="12" applyNumberFormat="1" applyFont="1" applyFill="1" applyBorder="1" applyAlignment="1">
      <alignment horizontal="right" vertical="center" indent="1"/>
    </xf>
    <xf numFmtId="0" fontId="23" fillId="0" borderId="0" xfId="13" applyFont="1" applyFill="1" applyBorder="1" applyAlignment="1">
      <alignment horizontal="right" vertical="center"/>
    </xf>
    <xf numFmtId="0" fontId="12" fillId="0" borderId="0" xfId="13" applyFont="1" applyFill="1" applyBorder="1" applyAlignment="1">
      <alignment horizontal="center" vertical="center"/>
    </xf>
    <xf numFmtId="0" fontId="5" fillId="0" borderId="0" xfId="13" applyFont="1" applyFill="1" applyBorder="1" applyAlignment="1">
      <alignment horizontal="right" vertical="center" indent="1"/>
    </xf>
    <xf numFmtId="37" fontId="5" fillId="0" borderId="0" xfId="12" applyNumberFormat="1" applyFont="1" applyFill="1" applyBorder="1" applyAlignment="1">
      <alignment horizontal="right" vertical="center" indent="1"/>
    </xf>
    <xf numFmtId="0" fontId="33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9" fillId="3" borderId="0" xfId="1" quotePrefix="1" applyFont="1" applyFill="1" applyAlignment="1">
      <alignment horizontal="center" vertical="center"/>
    </xf>
    <xf numFmtId="0" fontId="9" fillId="8" borderId="0" xfId="1" applyFont="1" applyFill="1" applyAlignment="1">
      <alignment horizontal="center" vertical="center"/>
    </xf>
    <xf numFmtId="0" fontId="9" fillId="3" borderId="2" xfId="1" quotePrefix="1" applyFont="1" applyFill="1" applyBorder="1" applyAlignment="1">
      <alignment horizontal="center" vertical="center"/>
    </xf>
    <xf numFmtId="0" fontId="9" fillId="12" borderId="0" xfId="3" quotePrefix="1" applyFont="1" applyFill="1" applyAlignment="1">
      <alignment horizontal="center" vertical="center"/>
    </xf>
    <xf numFmtId="0" fontId="17" fillId="5" borderId="10" xfId="3" quotePrefix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11" borderId="7" xfId="1" applyFont="1" applyFill="1" applyBorder="1" applyAlignment="1">
      <alignment horizontal="center" vertical="center"/>
    </xf>
    <xf numFmtId="0" fontId="9" fillId="11" borderId="0" xfId="1" applyFont="1" applyFill="1" applyAlignment="1">
      <alignment horizontal="center" vertical="center"/>
    </xf>
    <xf numFmtId="14" fontId="7" fillId="3" borderId="1" xfId="1" quotePrefix="1" applyNumberFormat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64" fontId="5" fillId="4" borderId="0" xfId="1" applyNumberFormat="1" applyFont="1" applyFill="1" applyAlignment="1">
      <alignment horizontal="left" vertical="center" indent="1"/>
    </xf>
    <xf numFmtId="0" fontId="9" fillId="3" borderId="1" xfId="1" quotePrefix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18" fontId="9" fillId="3" borderId="0" xfId="1" quotePrefix="1" applyNumberFormat="1" applyFont="1" applyFill="1" applyAlignment="1">
      <alignment horizontal="center" vertical="center"/>
    </xf>
    <xf numFmtId="0" fontId="33" fillId="4" borderId="7" xfId="0" applyFont="1" applyFill="1" applyBorder="1" applyAlignment="1">
      <alignment horizontal="center" vertical="center" wrapText="1"/>
    </xf>
    <xf numFmtId="0" fontId="33" fillId="4" borderId="0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9" fillId="12" borderId="20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12" fillId="5" borderId="3" xfId="3" applyFont="1" applyFill="1" applyBorder="1" applyAlignment="1">
      <alignment horizontal="center" vertical="center" wrapText="1"/>
    </xf>
    <xf numFmtId="0" fontId="12" fillId="5" borderId="0" xfId="3" applyFont="1" applyFill="1" applyBorder="1" applyAlignment="1">
      <alignment horizontal="center" vertical="center" wrapText="1"/>
    </xf>
    <xf numFmtId="0" fontId="9" fillId="3" borderId="0" xfId="4" quotePrefix="1" applyFont="1" applyFill="1" applyAlignment="1" applyProtection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9" fillId="5" borderId="12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 wrapText="1"/>
    </xf>
    <xf numFmtId="0" fontId="9" fillId="5" borderId="0" xfId="1" applyFont="1" applyFill="1" applyAlignment="1">
      <alignment horizontal="center" vertical="center" wrapText="1"/>
    </xf>
    <xf numFmtId="0" fontId="20" fillId="10" borderId="0" xfId="1" quotePrefix="1" applyFont="1" applyFill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9" fillId="3" borderId="0" xfId="5" quotePrefix="1" applyFont="1" applyFill="1" applyAlignment="1">
      <alignment horizontal="center" vertical="center"/>
    </xf>
    <xf numFmtId="0" fontId="9" fillId="5" borderId="3" xfId="5" applyFont="1" applyFill="1" applyBorder="1" applyAlignment="1">
      <alignment horizontal="center" vertical="center"/>
    </xf>
    <xf numFmtId="0" fontId="9" fillId="5" borderId="15" xfId="5" applyFont="1" applyFill="1" applyBorder="1" applyAlignment="1">
      <alignment horizontal="center" vertical="center"/>
    </xf>
    <xf numFmtId="0" fontId="9" fillId="5" borderId="0" xfId="5" applyFont="1" applyFill="1" applyAlignment="1">
      <alignment horizontal="center" vertical="center"/>
    </xf>
    <xf numFmtId="3" fontId="22" fillId="4" borderId="9" xfId="6" applyNumberFormat="1" applyFont="1" applyFill="1" applyBorder="1" applyAlignment="1">
      <alignment horizontal="center" vertical="center" wrapText="1"/>
    </xf>
    <xf numFmtId="0" fontId="22" fillId="4" borderId="0" xfId="5" applyNumberFormat="1" applyFont="1" applyFill="1" applyAlignment="1">
      <alignment horizontal="center" vertical="center"/>
    </xf>
    <xf numFmtId="0" fontId="22" fillId="4" borderId="3" xfId="5" applyNumberFormat="1" applyFont="1" applyFill="1" applyBorder="1" applyAlignment="1">
      <alignment horizontal="center" vertical="center"/>
    </xf>
    <xf numFmtId="0" fontId="22" fillId="4" borderId="15" xfId="5" applyNumberFormat="1" applyFont="1" applyFill="1" applyBorder="1" applyAlignment="1">
      <alignment horizontal="center" vertical="center"/>
    </xf>
    <xf numFmtId="168" fontId="22" fillId="4" borderId="0" xfId="5" quotePrefix="1" applyNumberFormat="1" applyFont="1" applyFill="1" applyAlignment="1">
      <alignment horizontal="center" vertical="center"/>
    </xf>
    <xf numFmtId="168" fontId="22" fillId="4" borderId="0" xfId="5" applyNumberFormat="1" applyFont="1" applyFill="1" applyAlignment="1">
      <alignment horizontal="center" vertical="center"/>
    </xf>
    <xf numFmtId="3" fontId="22" fillId="4" borderId="9" xfId="6" applyNumberFormat="1" applyFont="1" applyFill="1" applyBorder="1" applyAlignment="1">
      <alignment horizontal="center" vertical="center"/>
    </xf>
    <xf numFmtId="168" fontId="22" fillId="4" borderId="3" xfId="5" applyNumberFormat="1" applyFont="1" applyFill="1" applyBorder="1" applyAlignment="1">
      <alignment horizontal="center" vertical="center"/>
    </xf>
    <xf numFmtId="168" fontId="22" fillId="4" borderId="15" xfId="5" applyNumberFormat="1" applyFont="1" applyFill="1" applyBorder="1" applyAlignment="1">
      <alignment horizontal="center" vertical="center"/>
    </xf>
    <xf numFmtId="3" fontId="22" fillId="4" borderId="3" xfId="6" applyNumberFormat="1" applyFont="1" applyFill="1" applyBorder="1" applyAlignment="1">
      <alignment horizontal="center" vertical="center"/>
    </xf>
    <xf numFmtId="3" fontId="22" fillId="4" borderId="15" xfId="6" applyNumberFormat="1" applyFont="1" applyFill="1" applyBorder="1" applyAlignment="1">
      <alignment horizontal="center" vertical="center"/>
    </xf>
    <xf numFmtId="3" fontId="22" fillId="4" borderId="3" xfId="6" quotePrefix="1" applyNumberFormat="1" applyFont="1" applyFill="1" applyBorder="1" applyAlignment="1">
      <alignment horizontal="center" vertical="center"/>
    </xf>
    <xf numFmtId="3" fontId="22" fillId="4" borderId="0" xfId="6" applyNumberFormat="1" applyFont="1" applyFill="1" applyBorder="1" applyAlignment="1">
      <alignment horizontal="center" vertical="center"/>
    </xf>
    <xf numFmtId="169" fontId="22" fillId="4" borderId="0" xfId="5" applyNumberFormat="1" applyFont="1" applyFill="1" applyAlignment="1">
      <alignment horizontal="center" vertical="center"/>
    </xf>
    <xf numFmtId="169" fontId="22" fillId="4" borderId="3" xfId="5" applyNumberFormat="1" applyFont="1" applyFill="1" applyBorder="1" applyAlignment="1">
      <alignment horizontal="center" vertical="center"/>
    </xf>
    <xf numFmtId="169" fontId="22" fillId="4" borderId="15" xfId="5" applyNumberFormat="1" applyFont="1" applyFill="1" applyBorder="1" applyAlignment="1">
      <alignment horizontal="center" vertical="center"/>
    </xf>
    <xf numFmtId="169" fontId="22" fillId="4" borderId="0" xfId="6" quotePrefix="1" applyNumberFormat="1" applyFont="1" applyFill="1" applyAlignment="1">
      <alignment horizontal="center" vertical="center"/>
    </xf>
    <xf numFmtId="169" fontId="22" fillId="4" borderId="0" xfId="6" applyNumberFormat="1" applyFont="1" applyFill="1" applyAlignment="1">
      <alignment horizontal="center" vertical="center"/>
    </xf>
    <xf numFmtId="0" fontId="9" fillId="11" borderId="9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9" fillId="8" borderId="2" xfId="9" applyFont="1" applyFill="1" applyBorder="1" applyAlignment="1">
      <alignment horizontal="left" vertical="center" indent="4"/>
    </xf>
    <xf numFmtId="0" fontId="12" fillId="5" borderId="28" xfId="10" applyFont="1" applyFill="1" applyBorder="1" applyAlignment="1">
      <alignment horizontal="center" vertical="center"/>
    </xf>
    <xf numFmtId="0" fontId="12" fillId="5" borderId="32" xfId="10" applyFont="1" applyFill="1" applyBorder="1" applyAlignment="1">
      <alignment horizontal="center" vertical="center"/>
    </xf>
    <xf numFmtId="0" fontId="12" fillId="5" borderId="29" xfId="10" applyFont="1" applyFill="1" applyBorder="1" applyAlignment="1">
      <alignment horizontal="center" vertical="center"/>
    </xf>
    <xf numFmtId="0" fontId="12" fillId="5" borderId="30" xfId="10" applyFont="1" applyFill="1" applyBorder="1" applyAlignment="1">
      <alignment horizontal="center" vertical="center"/>
    </xf>
    <xf numFmtId="0" fontId="12" fillId="5" borderId="31" xfId="10" applyFont="1" applyFill="1" applyBorder="1" applyAlignment="1">
      <alignment horizontal="center" vertical="center"/>
    </xf>
    <xf numFmtId="0" fontId="9" fillId="5" borderId="5" xfId="9" applyFont="1" applyFill="1" applyBorder="1" applyAlignment="1">
      <alignment horizontal="center" vertical="center" wrapText="1"/>
    </xf>
    <xf numFmtId="0" fontId="9" fillId="5" borderId="3" xfId="9" applyFont="1" applyFill="1" applyBorder="1" applyAlignment="1">
      <alignment horizontal="center" vertical="center" wrapText="1"/>
    </xf>
    <xf numFmtId="0" fontId="39" fillId="0" borderId="0" xfId="1" applyFont="1" applyAlignment="1">
      <alignment vertical="center"/>
    </xf>
    <xf numFmtId="0" fontId="9" fillId="3" borderId="0" xfId="1" quotePrefix="1" applyFont="1" applyFill="1" applyBorder="1" applyAlignment="1">
      <alignment horizontal="center" vertical="center"/>
    </xf>
    <xf numFmtId="180" fontId="12" fillId="5" borderId="11" xfId="13" applyNumberFormat="1" applyFont="1" applyFill="1" applyBorder="1" applyAlignment="1">
      <alignment horizontal="center" vertical="center"/>
    </xf>
    <xf numFmtId="0" fontId="12" fillId="0" borderId="0" xfId="13" applyFont="1" applyFill="1" applyBorder="1" applyAlignment="1">
      <alignment horizontal="center" vertical="center"/>
    </xf>
    <xf numFmtId="0" fontId="9" fillId="5" borderId="2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left" vertical="center" indent="1"/>
    </xf>
    <xf numFmtId="0" fontId="12" fillId="5" borderId="0" xfId="1" applyFont="1" applyFill="1" applyBorder="1" applyAlignment="1">
      <alignment horizontal="left" vertical="center" indent="1"/>
    </xf>
    <xf numFmtId="0" fontId="12" fillId="5" borderId="2" xfId="1" applyFont="1" applyFill="1" applyBorder="1" applyAlignment="1">
      <alignment horizontal="left" vertical="center" indent="1"/>
    </xf>
    <xf numFmtId="0" fontId="9" fillId="6" borderId="0" xfId="1" applyFont="1" applyFill="1" applyAlignment="1">
      <alignment horizontal="center" vertical="center"/>
    </xf>
    <xf numFmtId="0" fontId="9" fillId="6" borderId="0" xfId="1" applyFont="1" applyFill="1" applyBorder="1" applyAlignment="1">
      <alignment horizontal="center" vertical="center"/>
    </xf>
  </cellXfs>
  <cellStyles count="15">
    <cellStyle name="Comma [0] 2" xfId="6"/>
    <cellStyle name="Comma 2" xfId="8"/>
    <cellStyle name="Comma 2 2" xfId="12"/>
    <cellStyle name="Currency 2" xfId="7"/>
    <cellStyle name="Hyperlink" xfId="4" builtinId="8"/>
    <cellStyle name="Normal" xfId="0" builtinId="0"/>
    <cellStyle name="Normal 2" xfId="1"/>
    <cellStyle name="Normal 2 2" xfId="3"/>
    <cellStyle name="Normal 2 3" xfId="5"/>
    <cellStyle name="Normal 6" xfId="14"/>
    <cellStyle name="Normal 6 2" xfId="10"/>
    <cellStyle name="Normal_LOOKUP 2" xfId="13"/>
    <cellStyle name="Normal_SOAL" xfId="9"/>
    <cellStyle name="Percent 2" xfId="2"/>
    <cellStyle name="Percent 3 2" xfId="11"/>
  </cellStyles>
  <dxfs count="8"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ill>
        <patternFill>
          <bgColor theme="9" tint="0.39994506668294322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/>
        <color rgb="FFFF0000"/>
      </font>
      <fill>
        <patternFill>
          <bgColor theme="1"/>
        </patternFill>
      </fill>
      <border>
        <top style="thin">
          <color theme="0"/>
        </top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OFFSET!$K$7</c:f>
              <c:strCache>
                <c:ptCount val="1"/>
                <c:pt idx="0">
                  <c:v>Apr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OFFSET!$J$8:$J$12</c:f>
              <c:strCache>
                <c:ptCount val="5"/>
                <c:pt idx="0">
                  <c:v>Australia</c:v>
                </c:pt>
                <c:pt idx="1">
                  <c:v>Jepang</c:v>
                </c:pt>
                <c:pt idx="2">
                  <c:v>Eropa</c:v>
                </c:pt>
                <c:pt idx="3">
                  <c:v>Afrika</c:v>
                </c:pt>
                <c:pt idx="4">
                  <c:v>Amerika</c:v>
                </c:pt>
              </c:strCache>
            </c:strRef>
          </c:cat>
          <c:val>
            <c:numRef>
              <c:f>OFFSET!$K$8:$K$12</c:f>
              <c:numCache>
                <c:formatCode>#,##0_);\(#,##0\)</c:formatCode>
                <c:ptCount val="5"/>
                <c:pt idx="0">
                  <c:v>8150</c:v>
                </c:pt>
                <c:pt idx="1">
                  <c:v>15800</c:v>
                </c:pt>
                <c:pt idx="2">
                  <c:v>18500</c:v>
                </c:pt>
                <c:pt idx="3">
                  <c:v>10250</c:v>
                </c:pt>
                <c:pt idx="4">
                  <c:v>21500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AE-4262-8E28-9DBF9353D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2385504"/>
        <c:axId val="522385896"/>
      </c:barChart>
      <c:catAx>
        <c:axId val="5223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2385896"/>
        <c:crosses val="autoZero"/>
        <c:auto val="1"/>
        <c:lblAlgn val="ctr"/>
        <c:lblOffset val="100"/>
        <c:noMultiLvlLbl val="0"/>
      </c:catAx>
      <c:valAx>
        <c:axId val="522385896"/>
        <c:scaling>
          <c:orientation val="minMax"/>
          <c:max val="20000"/>
          <c:min val="6000"/>
        </c:scaling>
        <c:delete val="0"/>
        <c:axPos val="l"/>
        <c:numFmt formatCode="#,##0_);\(#,##0\)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23855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2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1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 mods="ignoreCSTransforms">
      <cs:styleClr val="0">
        <a:shade val="25000"/>
      </cs:styl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 mods="ignoreCSTransforms">
      <cs:styleClr val="0">
        <a:tint val="25000"/>
      </cs:styl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Scroll" dx="22" fmlaLink="$E$12" horiz="1" max="4" min="1" page="10"/>
</file>

<file path=xl/ctrlProps/ctrlProp10.xml><?xml version="1.0" encoding="utf-8"?>
<formControlPr xmlns="http://schemas.microsoft.com/office/spreadsheetml/2009/9/main" objectType="Scroll" dx="16" fmlaLink="$A$6" horiz="1" inc="15" max="1000" min="1" page="10" val="586"/>
</file>

<file path=xl/ctrlProps/ctrlProp11.xml><?xml version="1.0" encoding="utf-8"?>
<formControlPr xmlns="http://schemas.microsoft.com/office/spreadsheetml/2009/9/main" objectType="Scroll" dx="16" fmlaLink="$A$6" horiz="1" inc="15" max="1000" min="1" page="10" val="211"/>
</file>

<file path=xl/ctrlProps/ctrlProp12.xml><?xml version="1.0" encoding="utf-8"?>
<formControlPr xmlns="http://schemas.microsoft.com/office/spreadsheetml/2009/9/main" objectType="Scroll" dx="16" fmlaLink="$C$5" horiz="1" max="23" page="10"/>
</file>

<file path=xl/ctrlProps/ctrlProp13.xml><?xml version="1.0" encoding="utf-8"?>
<formControlPr xmlns="http://schemas.microsoft.com/office/spreadsheetml/2009/9/main" objectType="Scroll" dx="16" fmlaLink="$C$6" horiz="1" max="59" page="10" val="11"/>
</file>

<file path=xl/ctrlProps/ctrlProp14.xml><?xml version="1.0" encoding="utf-8"?>
<formControlPr xmlns="http://schemas.microsoft.com/office/spreadsheetml/2009/9/main" objectType="Scroll" dx="16" fmlaLink="$C$7" horiz="1" max="59" page="10" val="4"/>
</file>

<file path=xl/ctrlProps/ctrlProp15.xml><?xml version="1.0" encoding="utf-8"?>
<formControlPr xmlns="http://schemas.microsoft.com/office/spreadsheetml/2009/9/main" objectType="Scroll" dx="22" fmlaLink="$A$5" horiz="1" max="3" min="1" page="10" val="3"/>
</file>

<file path=xl/ctrlProps/ctrlProp16.xml><?xml version="1.0" encoding="utf-8"?>
<formControlPr xmlns="http://schemas.microsoft.com/office/spreadsheetml/2009/9/main" objectType="Scroll" dx="16" fmlaLink="$B$8" horiz="1" max="250" min="5" page="10" val="25"/>
</file>

<file path=xl/ctrlProps/ctrlProp17.xml><?xml version="1.0" encoding="utf-8"?>
<formControlPr xmlns="http://schemas.microsoft.com/office/spreadsheetml/2009/9/main" objectType="Scroll" dx="16" fmlaLink="$B$9" horiz="1" max="250" min="5" page="10" val="38"/>
</file>

<file path=xl/ctrlProps/ctrlProp18.xml><?xml version="1.0" encoding="utf-8"?>
<formControlPr xmlns="http://schemas.microsoft.com/office/spreadsheetml/2009/9/main" objectType="Scroll" dx="16" fmlaLink="$B$10" horiz="1" max="250" min="5" page="10" val="172"/>
</file>

<file path=xl/ctrlProps/ctrlProp19.xml><?xml version="1.0" encoding="utf-8"?>
<formControlPr xmlns="http://schemas.microsoft.com/office/spreadsheetml/2009/9/main" objectType="Scroll" dx="16" fmlaLink="$C$8" horiz="1" max="15" min="2" page="10" val="5"/>
</file>

<file path=xl/ctrlProps/ctrlProp2.xml><?xml version="1.0" encoding="utf-8"?>
<formControlPr xmlns="http://schemas.microsoft.com/office/spreadsheetml/2009/9/main" objectType="Radio" checked="Checked" firstButton="1" fmlaLink="$A$3" lockText="1"/>
</file>

<file path=xl/ctrlProps/ctrlProp20.xml><?xml version="1.0" encoding="utf-8"?>
<formControlPr xmlns="http://schemas.microsoft.com/office/spreadsheetml/2009/9/main" objectType="Scroll" dx="16" fmlaLink="$C$9" horiz="1" max="15" min="2" page="10" val="5"/>
</file>

<file path=xl/ctrlProps/ctrlProp21.xml><?xml version="1.0" encoding="utf-8"?>
<formControlPr xmlns="http://schemas.microsoft.com/office/spreadsheetml/2009/9/main" objectType="Scroll" dx="16" fmlaLink="$C$10" horiz="1" max="15" min="2" page="10" val="8"/>
</file>

<file path=xl/ctrlProps/ctrlProp22.xml><?xml version="1.0" encoding="utf-8"?>
<formControlPr xmlns="http://schemas.microsoft.com/office/spreadsheetml/2009/9/main" objectType="Scroll" dx="16" fmlaLink="$G$12" horiz="1" max="10" min="1" page="10" val="4"/>
</file>

<file path=xl/ctrlProps/ctrlProp23.xml><?xml version="1.0" encoding="utf-8"?>
<formControlPr xmlns="http://schemas.microsoft.com/office/spreadsheetml/2009/9/main" objectType="Scroll" dx="16" fmlaLink="$I$6" horiz="1" max="160" page="10" val="32"/>
</file>

<file path=xl/ctrlProps/ctrlProp24.xml><?xml version="1.0" encoding="utf-8"?>
<formControlPr xmlns="http://schemas.microsoft.com/office/spreadsheetml/2009/9/main" objectType="Scroll" dx="16" fmlaLink="$C$15" horiz="1" inc="25" max="2500" min="25" page="10" val="1600"/>
</file>

<file path=xl/ctrlProps/ctrlProp25.xml><?xml version="1.0" encoding="utf-8"?>
<formControlPr xmlns="http://schemas.microsoft.com/office/spreadsheetml/2009/9/main" objectType="Scroll" dx="16" fmlaLink="$C$9" horiz="1" inc="60" max="7200" min="60" page="10" val="3600"/>
</file>

<file path=xl/ctrlProps/ctrlProp26.xml><?xml version="1.0" encoding="utf-8"?>
<formControlPr xmlns="http://schemas.microsoft.com/office/spreadsheetml/2009/9/main" objectType="Scroll" dx="16" fmlaLink="$C$12" horiz="1" max="1000" min="1" page="10" val="100"/>
</file>

<file path=xl/ctrlProps/ctrlProp27.xml><?xml version="1.0" encoding="utf-8"?>
<formControlPr xmlns="http://schemas.microsoft.com/office/spreadsheetml/2009/9/main" objectType="Scroll" dx="22" fmlaLink="$E$8" horiz="1" max="500" min="1" page="10" val="5"/>
</file>

<file path=xl/ctrlProps/ctrlProp28.xml><?xml version="1.0" encoding="utf-8"?>
<formControlPr xmlns="http://schemas.microsoft.com/office/spreadsheetml/2009/9/main" objectType="Scroll" dx="22" fmlaLink="$E$4" horiz="1" inc="5" max="100" min="5" page="10" val="100"/>
</file>

<file path=xl/ctrlProps/ctrlProp29.xml><?xml version="1.0" encoding="utf-8"?>
<formControlPr xmlns="http://schemas.microsoft.com/office/spreadsheetml/2009/9/main" objectType="Scroll" dx="22" fmlaLink="$E$5" horiz="1" inc="25" max="1250" min="800" page="10" val="800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Scroll" dx="22" fmlaLink="$C$13" horiz="1" max="36" min="1" page="10" val="5"/>
</file>

<file path=xl/ctrlProps/ctrlProp31.xml><?xml version="1.0" encoding="utf-8"?>
<formControlPr xmlns="http://schemas.microsoft.com/office/spreadsheetml/2009/9/main" objectType="Scroll" dx="16" fmlaLink="$D$7" horiz="1" max="36" min="6" page="10" val="36"/>
</file>

<file path=xl/ctrlProps/ctrlProp32.xml><?xml version="1.0" encoding="utf-8"?>
<formControlPr xmlns="http://schemas.microsoft.com/office/spreadsheetml/2009/9/main" objectType="Scroll" dx="16" fmlaLink="$E$9" horiz="1" inc="25" max="5000" min="50" page="10" val="500"/>
</file>

<file path=xl/ctrlProps/ctrlProp33.xml><?xml version="1.0" encoding="utf-8"?>
<formControlPr xmlns="http://schemas.microsoft.com/office/spreadsheetml/2009/9/main" objectType="Scroll" dx="16" fmlaLink="$E$8" horiz="1" inc="5" max="5000" min="10" page="10" val="1350"/>
</file>

<file path=xl/ctrlProps/ctrlProp34.xml><?xml version="1.0" encoding="utf-8"?>
<formControlPr xmlns="http://schemas.microsoft.com/office/spreadsheetml/2009/9/main" objectType="Scroll" dx="16" fmlaLink="$G$7" horiz="1" max="1" page="10" val="0"/>
</file>

<file path=xl/ctrlProps/ctrlProp35.xml><?xml version="1.0" encoding="utf-8"?>
<formControlPr xmlns="http://schemas.microsoft.com/office/spreadsheetml/2009/9/main" objectType="Scroll" dx="16" fmlaLink="$F$8" horiz="1" max="15" min="1" page="10" val="6"/>
</file>

<file path=xl/ctrlProps/ctrlProp36.xml><?xml version="1.0" encoding="utf-8"?>
<formControlPr xmlns="http://schemas.microsoft.com/office/spreadsheetml/2009/9/main" objectType="Scroll" dx="16" fmlaLink="$L$12" horiz="1" max="15" min="1" page="10" val="3"/>
</file>

<file path=xl/ctrlProps/ctrlProp37.xml><?xml version="1.0" encoding="utf-8"?>
<formControlPr xmlns="http://schemas.microsoft.com/office/spreadsheetml/2009/9/main" objectType="Scroll" dx="16" fmlaLink="$K$6" horiz="1" max="6" min="1" page="10" val="4"/>
</file>

<file path=xl/ctrlProps/ctrlProp38.xml><?xml version="1.0" encoding="utf-8"?>
<formControlPr xmlns="http://schemas.microsoft.com/office/spreadsheetml/2009/9/main" objectType="Scroll" dx="16" fmlaLink="$E$8" horiz="1" max="50" min="1" page="10" val="48"/>
</file>

<file path=xl/ctrlProps/ctrlProp39.xml><?xml version="1.0" encoding="utf-8"?>
<formControlPr xmlns="http://schemas.microsoft.com/office/spreadsheetml/2009/9/main" objectType="Scroll" dx="16" fmlaLink="$F$7" horiz="1" max="6" min="1" page="10" val="4"/>
</file>

<file path=xl/ctrlProps/ctrlProp4.xml><?xml version="1.0" encoding="utf-8"?>
<formControlPr xmlns="http://schemas.microsoft.com/office/spreadsheetml/2009/9/main" objectType="Scroll" dx="16" fmlaLink="$D$5" horiz="1" max="1000" min="1" page="10" val="165"/>
</file>

<file path=xl/ctrlProps/ctrlProp5.xml><?xml version="1.0" encoding="utf-8"?>
<formControlPr xmlns="http://schemas.microsoft.com/office/spreadsheetml/2009/9/main" objectType="Scroll" dx="16" fmlaLink="$A$8" horiz="1" max="70" min="1" page="10" val="13"/>
</file>

<file path=xl/ctrlProps/ctrlProp6.xml><?xml version="1.0" encoding="utf-8"?>
<formControlPr xmlns="http://schemas.microsoft.com/office/spreadsheetml/2009/9/main" objectType="Scroll" dx="16" fmlaLink="$C$7" horiz="1" max="2025" min="2019" page="10" val="2020"/>
</file>

<file path=xl/ctrlProps/ctrlProp7.xml><?xml version="1.0" encoding="utf-8"?>
<formControlPr xmlns="http://schemas.microsoft.com/office/spreadsheetml/2009/9/main" objectType="Scroll" dx="16" fmlaLink="$A$8" horiz="1" max="15" page="10" val="11"/>
</file>

<file path=xl/ctrlProps/ctrlProp8.xml><?xml version="1.0" encoding="utf-8"?>
<formControlPr xmlns="http://schemas.microsoft.com/office/spreadsheetml/2009/9/main" objectType="Scroll" dx="16" fmlaLink="$C$9" horiz="1" max="31" min="1" page="10" val="18"/>
</file>

<file path=xl/ctrlProps/ctrlProp9.xml><?xml version="1.0" encoding="utf-8"?>
<formControlPr xmlns="http://schemas.microsoft.com/office/spreadsheetml/2009/9/main" objectType="Scroll" dx="16" fmlaLink="$A$6" horiz="1" max="1000" min="1" page="10" val="245"/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COLUMN!A1"/><Relationship Id="rId2" Type="http://schemas.openxmlformats.org/officeDocument/2006/relationships/hyperlink" Target="#MENU!E16"/><Relationship Id="rId1" Type="http://schemas.openxmlformats.org/officeDocument/2006/relationships/hyperlink" Target="#AREAS!A1"/><Relationship Id="rId4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#OFFSET!A1"/><Relationship Id="rId2" Type="http://schemas.openxmlformats.org/officeDocument/2006/relationships/hyperlink" Target="#MENU!E16"/><Relationship Id="rId1" Type="http://schemas.openxmlformats.org/officeDocument/2006/relationships/hyperlink" Target="#LOOKUP!A1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#ROW!A1"/><Relationship Id="rId2" Type="http://schemas.openxmlformats.org/officeDocument/2006/relationships/hyperlink" Target="#MENU!E16"/><Relationship Id="rId1" Type="http://schemas.openxmlformats.org/officeDocument/2006/relationships/hyperlink" Target="#MATCH!A1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11</xdr:row>
          <xdr:rowOff>19050</xdr:rowOff>
        </xdr:from>
        <xdr:to>
          <xdr:col>5</xdr:col>
          <xdr:colOff>857250</xdr:colOff>
          <xdr:row>11</xdr:row>
          <xdr:rowOff>180975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4</xdr:row>
          <xdr:rowOff>28575</xdr:rowOff>
        </xdr:from>
        <xdr:to>
          <xdr:col>1</xdr:col>
          <xdr:colOff>838200</xdr:colOff>
          <xdr:row>4</xdr:row>
          <xdr:rowOff>190500</xdr:rowOff>
        </xdr:to>
        <xdr:sp macro="" textlink="">
          <xdr:nvSpPr>
            <xdr:cNvPr id="25601" name="Scroll Bar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7</xdr:row>
          <xdr:rowOff>28575</xdr:rowOff>
        </xdr:from>
        <xdr:to>
          <xdr:col>1</xdr:col>
          <xdr:colOff>571500</xdr:colOff>
          <xdr:row>7</xdr:row>
          <xdr:rowOff>190500</xdr:rowOff>
        </xdr:to>
        <xdr:sp macro="" textlink="">
          <xdr:nvSpPr>
            <xdr:cNvPr id="34817" name="Scroll Bar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xmlns="" id="{00000000-0008-0000-1B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19050</xdr:rowOff>
        </xdr:from>
        <xdr:to>
          <xdr:col>1</xdr:col>
          <xdr:colOff>571500</xdr:colOff>
          <xdr:row>8</xdr:row>
          <xdr:rowOff>180975</xdr:rowOff>
        </xdr:to>
        <xdr:sp macro="" textlink="">
          <xdr:nvSpPr>
            <xdr:cNvPr id="34818" name="Scroll Bar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xmlns="" id="{00000000-0008-0000-1B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9</xdr:row>
          <xdr:rowOff>19050</xdr:rowOff>
        </xdr:from>
        <xdr:to>
          <xdr:col>1</xdr:col>
          <xdr:colOff>571500</xdr:colOff>
          <xdr:row>9</xdr:row>
          <xdr:rowOff>180975</xdr:rowOff>
        </xdr:to>
        <xdr:sp macro="" textlink="">
          <xdr:nvSpPr>
            <xdr:cNvPr id="34819" name="Scroll Bar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xmlns="" id="{00000000-0008-0000-1B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7</xdr:row>
          <xdr:rowOff>38100</xdr:rowOff>
        </xdr:from>
        <xdr:to>
          <xdr:col>2</xdr:col>
          <xdr:colOff>571500</xdr:colOff>
          <xdr:row>7</xdr:row>
          <xdr:rowOff>200025</xdr:rowOff>
        </xdr:to>
        <xdr:sp macro="" textlink="">
          <xdr:nvSpPr>
            <xdr:cNvPr id="34820" name="Scroll Bar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xmlns="" id="{00000000-0008-0000-1B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8</xdr:row>
          <xdr:rowOff>38100</xdr:rowOff>
        </xdr:from>
        <xdr:to>
          <xdr:col>2</xdr:col>
          <xdr:colOff>571500</xdr:colOff>
          <xdr:row>8</xdr:row>
          <xdr:rowOff>200025</xdr:rowOff>
        </xdr:to>
        <xdr:sp macro="" textlink="">
          <xdr:nvSpPr>
            <xdr:cNvPr id="34821" name="Scroll Bar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xmlns="" id="{00000000-0008-0000-1B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9</xdr:row>
          <xdr:rowOff>38100</xdr:rowOff>
        </xdr:from>
        <xdr:to>
          <xdr:col>2</xdr:col>
          <xdr:colOff>571500</xdr:colOff>
          <xdr:row>9</xdr:row>
          <xdr:rowOff>200025</xdr:rowOff>
        </xdr:to>
        <xdr:sp macro="" textlink="">
          <xdr:nvSpPr>
            <xdr:cNvPr id="34822" name="Scroll Bar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xmlns="" id="{00000000-0008-0000-1B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15</xdr:row>
      <xdr:rowOff>95250</xdr:rowOff>
    </xdr:from>
    <xdr:to>
      <xdr:col>1</xdr:col>
      <xdr:colOff>266700</xdr:colOff>
      <xdr:row>16</xdr:row>
      <xdr:rowOff>76200</xdr:rowOff>
    </xdr:to>
    <xdr:sp macro="" textlink="">
      <xdr:nvSpPr>
        <xdr:cNvPr id="2" name="Freeform 4">
          <a:extLst>
            <a:ext uri="{FF2B5EF4-FFF2-40B4-BE49-F238E27FC236}">
              <a16:creationId xmlns:a16="http://schemas.microsoft.com/office/drawing/2014/main" xmlns="" id="{00000000-0008-0000-0A00-000004500000}"/>
            </a:ext>
          </a:extLst>
        </xdr:cNvPr>
        <xdr:cNvSpPr>
          <a:spLocks/>
        </xdr:cNvSpPr>
      </xdr:nvSpPr>
      <xdr:spPr bwMode="auto">
        <a:xfrm>
          <a:off x="514350" y="3324225"/>
          <a:ext cx="142875" cy="17145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  <a:cxn ang="0">
              <a:pos x="15" y="14"/>
            </a:cxn>
          </a:cxnLst>
          <a:rect l="0" t="0" r="r" b="b"/>
          <a:pathLst>
            <a:path w="15" h="14">
              <a:moveTo>
                <a:pt x="0" y="0"/>
              </a:moveTo>
              <a:lnTo>
                <a:pt x="0" y="14"/>
              </a:lnTo>
              <a:lnTo>
                <a:pt x="15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3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A00-000006500000}"/>
            </a:ext>
          </a:extLst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Text Box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A00-000007500000}"/>
            </a:ext>
          </a:extLst>
        </xdr:cNvPr>
        <xdr:cNvSpPr txBox="1">
          <a:spLocks noChangeArrowheads="1"/>
        </xdr:cNvSpPr>
      </xdr:nvSpPr>
      <xdr:spPr bwMode="auto">
        <a:xfrm>
          <a:off x="285750" y="0"/>
          <a:ext cx="104775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AutoShape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A00-000008500000}"/>
            </a:ext>
          </a:extLst>
        </xdr:cNvPr>
        <xdr:cNvSpPr>
          <a:spLocks noChangeArrowheads="1"/>
        </xdr:cNvSpPr>
      </xdr:nvSpPr>
      <xdr:spPr bwMode="auto">
        <a:xfrm>
          <a:off x="390525" y="0"/>
          <a:ext cx="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1724025</xdr:colOff>
      <xdr:row>14</xdr:row>
      <xdr:rowOff>161925</xdr:rowOff>
    </xdr:from>
    <xdr:to>
      <xdr:col>9</xdr:col>
      <xdr:colOff>489236</xdr:colOff>
      <xdr:row>24</xdr:row>
      <xdr:rowOff>57150</xdr:rowOff>
    </xdr:to>
    <xdr:pic>
      <xdr:nvPicPr>
        <xdr:cNvPr id="6" name="Picture 5" descr="BBBX.jpg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28975" y="3181350"/>
          <a:ext cx="3108611" cy="18192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11</xdr:row>
          <xdr:rowOff>28575</xdr:rowOff>
        </xdr:from>
        <xdr:to>
          <xdr:col>5</xdr:col>
          <xdr:colOff>666750</xdr:colOff>
          <xdr:row>11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xmlns="" id="{00000000-0008-0000-0A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6</xdr:row>
          <xdr:rowOff>38100</xdr:rowOff>
        </xdr:from>
        <xdr:to>
          <xdr:col>1</xdr:col>
          <xdr:colOff>1343025</xdr:colOff>
          <xdr:row>6</xdr:row>
          <xdr:rowOff>200025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="" xmlns:a16="http://schemas.microsoft.com/office/drawing/2014/main" id="{00000000-0008-0000-0A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15</xdr:row>
          <xdr:rowOff>9525</xdr:rowOff>
        </xdr:from>
        <xdr:to>
          <xdr:col>1</xdr:col>
          <xdr:colOff>1343025</xdr:colOff>
          <xdr:row>15</xdr:row>
          <xdr:rowOff>171450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="" xmlns:a16="http://schemas.microsoft.com/office/drawing/2014/main" id="{00000000-0008-0000-0A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9</xdr:row>
          <xdr:rowOff>0</xdr:rowOff>
        </xdr:from>
        <xdr:to>
          <xdr:col>1</xdr:col>
          <xdr:colOff>1343025</xdr:colOff>
          <xdr:row>9</xdr:row>
          <xdr:rowOff>161925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="" xmlns:a16="http://schemas.microsoft.com/office/drawing/2014/main" id="{00000000-0008-0000-0A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857250</xdr:colOff>
          <xdr:row>12</xdr:row>
          <xdr:rowOff>9525</xdr:rowOff>
        </xdr:from>
        <xdr:to>
          <xdr:col>1</xdr:col>
          <xdr:colOff>1343025</xdr:colOff>
          <xdr:row>12</xdr:row>
          <xdr:rowOff>171450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="" xmlns:a16="http://schemas.microsoft.com/office/drawing/2014/main" id="{00000000-0008-0000-0A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333375</xdr:colOff>
          <xdr:row>7</xdr:row>
          <xdr:rowOff>19050</xdr:rowOff>
        </xdr:from>
        <xdr:to>
          <xdr:col>7</xdr:col>
          <xdr:colOff>819150</xdr:colOff>
          <xdr:row>7</xdr:row>
          <xdr:rowOff>180975</xdr:rowOff>
        </xdr:to>
        <xdr:sp macro="" textlink="">
          <xdr:nvSpPr>
            <xdr:cNvPr id="29697" name="Scroll Bar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333375</xdr:colOff>
          <xdr:row>3</xdr:row>
          <xdr:rowOff>28575</xdr:rowOff>
        </xdr:from>
        <xdr:to>
          <xdr:col>7</xdr:col>
          <xdr:colOff>819150</xdr:colOff>
          <xdr:row>3</xdr:row>
          <xdr:rowOff>190500</xdr:rowOff>
        </xdr:to>
        <xdr:sp macro="" textlink="">
          <xdr:nvSpPr>
            <xdr:cNvPr id="29698" name="Scroll Bar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333375</xdr:colOff>
          <xdr:row>4</xdr:row>
          <xdr:rowOff>19050</xdr:rowOff>
        </xdr:from>
        <xdr:to>
          <xdr:col>7</xdr:col>
          <xdr:colOff>819150</xdr:colOff>
          <xdr:row>4</xdr:row>
          <xdr:rowOff>180975</xdr:rowOff>
        </xdr:to>
        <xdr:sp macro="" textlink="">
          <xdr:nvSpPr>
            <xdr:cNvPr id="29699" name="Scroll Bar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876300</xdr:colOff>
          <xdr:row>12</xdr:row>
          <xdr:rowOff>9525</xdr:rowOff>
        </xdr:from>
        <xdr:to>
          <xdr:col>1</xdr:col>
          <xdr:colOff>1362075</xdr:colOff>
          <xdr:row>12</xdr:row>
          <xdr:rowOff>171450</xdr:rowOff>
        </xdr:to>
        <xdr:sp macro="" textlink="">
          <xdr:nvSpPr>
            <xdr:cNvPr id="29702" name="Scroll Bar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6</xdr:row>
          <xdr:rowOff>28575</xdr:rowOff>
        </xdr:from>
        <xdr:to>
          <xdr:col>2</xdr:col>
          <xdr:colOff>1981200</xdr:colOff>
          <xdr:row>6</xdr:row>
          <xdr:rowOff>190500</xdr:rowOff>
        </xdr:to>
        <xdr:sp macro="" textlink="">
          <xdr:nvSpPr>
            <xdr:cNvPr id="26625" name="Scroll Bar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xmlns="" id="{00000000-0008-0000-1F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8</xdr:row>
          <xdr:rowOff>28575</xdr:rowOff>
        </xdr:from>
        <xdr:to>
          <xdr:col>2</xdr:col>
          <xdr:colOff>1981200</xdr:colOff>
          <xdr:row>8</xdr:row>
          <xdr:rowOff>190500</xdr:rowOff>
        </xdr:to>
        <xdr:sp macro="" textlink="">
          <xdr:nvSpPr>
            <xdr:cNvPr id="26626" name="Scroll Bar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xmlns="" id="{00000000-0008-0000-1F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1495425</xdr:colOff>
          <xdr:row>7</xdr:row>
          <xdr:rowOff>28575</xdr:rowOff>
        </xdr:from>
        <xdr:to>
          <xdr:col>2</xdr:col>
          <xdr:colOff>1981200</xdr:colOff>
          <xdr:row>7</xdr:row>
          <xdr:rowOff>190500</xdr:rowOff>
        </xdr:to>
        <xdr:sp macro="" textlink="">
          <xdr:nvSpPr>
            <xdr:cNvPr id="26627" name="Scroll Bar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xmlns="" id="{00000000-0008-0000-1F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28575</xdr:rowOff>
        </xdr:from>
        <xdr:to>
          <xdr:col>4</xdr:col>
          <xdr:colOff>676275</xdr:colOff>
          <xdr:row>6</xdr:row>
          <xdr:rowOff>190500</xdr:rowOff>
        </xdr:to>
        <xdr:sp macro="" textlink="">
          <xdr:nvSpPr>
            <xdr:cNvPr id="47105" name="Scroll Bar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xmlns="" id="{00000000-0008-0000-4900-000001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6</xdr:row>
          <xdr:rowOff>219075</xdr:rowOff>
        </xdr:from>
        <xdr:to>
          <xdr:col>4</xdr:col>
          <xdr:colOff>676275</xdr:colOff>
          <xdr:row>7</xdr:row>
          <xdr:rowOff>142875</xdr:rowOff>
        </xdr:to>
        <xdr:sp macro="" textlink="">
          <xdr:nvSpPr>
            <xdr:cNvPr id="47106" name="Scroll Bar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xmlns="" id="{00000000-0008-0000-4900-000002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2" name="AutoShap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D00-000006540000}"/>
            </a:ext>
          </a:extLst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Text Box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D00-000007540000}"/>
            </a:ext>
          </a:extLst>
        </xdr:cNvPr>
        <xdr:cNvSpPr txBox="1">
          <a:spLocks noChangeArrowheads="1"/>
        </xdr:cNvSpPr>
      </xdr:nvSpPr>
      <xdr:spPr bwMode="auto">
        <a:xfrm>
          <a:off x="285750" y="0"/>
          <a:ext cx="104775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AutoShape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D00-000008540000}"/>
            </a:ext>
          </a:extLst>
        </xdr:cNvPr>
        <xdr:cNvSpPr>
          <a:spLocks noChangeArrowheads="1"/>
        </xdr:cNvSpPr>
      </xdr:nvSpPr>
      <xdr:spPr bwMode="auto">
        <a:xfrm>
          <a:off x="390525" y="0"/>
          <a:ext cx="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428625</xdr:colOff>
          <xdr:row>11</xdr:row>
          <xdr:rowOff>19050</xdr:rowOff>
        </xdr:from>
        <xdr:to>
          <xdr:col>7</xdr:col>
          <xdr:colOff>914400</xdr:colOff>
          <xdr:row>11</xdr:row>
          <xdr:rowOff>180975</xdr:rowOff>
        </xdr:to>
        <xdr:sp macro="" textlink="">
          <xdr:nvSpPr>
            <xdr:cNvPr id="48129" name="Scroll Bar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xmlns="" id="{00000000-0008-0000-0D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3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285750" y="0"/>
          <a:ext cx="257175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1</xdr:col>
      <xdr:colOff>219075</xdr:colOff>
      <xdr:row>0</xdr:row>
      <xdr:rowOff>0</xdr:rowOff>
    </xdr:from>
    <xdr:to>
      <xdr:col>1</xdr:col>
      <xdr:colOff>400050</xdr:colOff>
      <xdr:row>0</xdr:row>
      <xdr:rowOff>0</xdr:rowOff>
    </xdr:to>
    <xdr:sp macro="" textlink="">
      <xdr:nvSpPr>
        <xdr:cNvPr id="4" name="AutoShap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1100-000004000000}"/>
            </a:ext>
          </a:extLst>
        </xdr:cNvPr>
        <xdr:cNvSpPr>
          <a:spLocks noChangeArrowheads="1"/>
        </xdr:cNvSpPr>
      </xdr:nvSpPr>
      <xdr:spPr bwMode="auto">
        <a:xfrm>
          <a:off x="609600" y="0"/>
          <a:ext cx="180975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10584</xdr:colOff>
      <xdr:row>12</xdr:row>
      <xdr:rowOff>158749</xdr:rowOff>
    </xdr:from>
    <xdr:to>
      <xdr:col>8</xdr:col>
      <xdr:colOff>169333</xdr:colOff>
      <xdr:row>28</xdr:row>
      <xdr:rowOff>171451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523875</xdr:colOff>
          <xdr:row>5</xdr:row>
          <xdr:rowOff>19050</xdr:rowOff>
        </xdr:from>
        <xdr:to>
          <xdr:col>9</xdr:col>
          <xdr:colOff>1009650</xdr:colOff>
          <xdr:row>5</xdr:row>
          <xdr:rowOff>180975</xdr:rowOff>
        </xdr:to>
        <xdr:sp macro="" textlink="">
          <xdr:nvSpPr>
            <xdr:cNvPr id="49153" name="Scroll Bar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xmlns="" id="{00000000-0008-0000-11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7</xdr:row>
          <xdr:rowOff>28575</xdr:rowOff>
        </xdr:from>
        <xdr:to>
          <xdr:col>3</xdr:col>
          <xdr:colOff>590550</xdr:colOff>
          <xdr:row>7</xdr:row>
          <xdr:rowOff>190500</xdr:rowOff>
        </xdr:to>
        <xdr:sp macro="" textlink="">
          <xdr:nvSpPr>
            <xdr:cNvPr id="33793" name="Scroll Bar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="" xmlns:a16="http://schemas.microsoft.com/office/drawing/2014/main" id="{00000000-0008-0000-0D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6</xdr:row>
          <xdr:rowOff>28575</xdr:rowOff>
        </xdr:from>
        <xdr:to>
          <xdr:col>3</xdr:col>
          <xdr:colOff>590550</xdr:colOff>
          <xdr:row>7</xdr:row>
          <xdr:rowOff>0</xdr:rowOff>
        </xdr:to>
        <xdr:sp macro="" textlink="">
          <xdr:nvSpPr>
            <xdr:cNvPr id="33794" name="Scroll Bar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="" xmlns:a16="http://schemas.microsoft.com/office/drawing/2014/main" id="{00000000-0008-0000-0D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13</xdr:row>
      <xdr:rowOff>152400</xdr:rowOff>
    </xdr:from>
    <xdr:to>
      <xdr:col>8</xdr:col>
      <xdr:colOff>95249</xdr:colOff>
      <xdr:row>17</xdr:row>
      <xdr:rowOff>47625</xdr:rowOff>
    </xdr:to>
    <xdr:sp macro="" textlink="">
      <xdr:nvSpPr>
        <xdr:cNvPr id="2" name="Left Arrow 1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SpPr/>
      </xdr:nvSpPr>
      <xdr:spPr bwMode="auto">
        <a:xfrm>
          <a:off x="6524625" y="2095500"/>
          <a:ext cx="228599" cy="657225"/>
        </a:xfrm>
        <a:prstGeom prst="leftArrow">
          <a:avLst/>
        </a:prstGeom>
        <a:ln>
          <a:headEnd type="none" w="med" len="med"/>
          <a:tailEnd type="none" w="med" len="med"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id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</xdr:row>
          <xdr:rowOff>219075</xdr:rowOff>
        </xdr:from>
        <xdr:to>
          <xdr:col>2</xdr:col>
          <xdr:colOff>1000125</xdr:colOff>
          <xdr:row>3</xdr:row>
          <xdr:rowOff>19050</xdr:rowOff>
        </xdr:to>
        <xdr:sp macro="" textlink="">
          <xdr:nvSpPr>
            <xdr:cNvPr id="8193" name="Option 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1981200</xdr:colOff>
          <xdr:row>1</xdr:row>
          <xdr:rowOff>219075</xdr:rowOff>
        </xdr:from>
        <xdr:to>
          <xdr:col>3</xdr:col>
          <xdr:colOff>85725</xdr:colOff>
          <xdr:row>3</xdr:row>
          <xdr:rowOff>19050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=""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1104900</xdr:colOff>
          <xdr:row>4</xdr:row>
          <xdr:rowOff>28575</xdr:rowOff>
        </xdr:from>
        <xdr:to>
          <xdr:col>4</xdr:col>
          <xdr:colOff>1590675</xdr:colOff>
          <xdr:row>4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1104900</xdr:colOff>
          <xdr:row>5</xdr:row>
          <xdr:rowOff>19050</xdr:rowOff>
        </xdr:from>
        <xdr:to>
          <xdr:col>4</xdr:col>
          <xdr:colOff>1590675</xdr:colOff>
          <xdr:row>5</xdr:row>
          <xdr:rowOff>180975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=""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6</xdr:row>
          <xdr:rowOff>47625</xdr:rowOff>
        </xdr:from>
        <xdr:to>
          <xdr:col>1</xdr:col>
          <xdr:colOff>1200150</xdr:colOff>
          <xdr:row>7</xdr:row>
          <xdr:rowOff>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7</xdr:row>
          <xdr:rowOff>28575</xdr:rowOff>
        </xdr:from>
        <xdr:to>
          <xdr:col>1</xdr:col>
          <xdr:colOff>1200150</xdr:colOff>
          <xdr:row>7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8</xdr:row>
          <xdr:rowOff>9525</xdr:rowOff>
        </xdr:from>
        <xdr:to>
          <xdr:col>1</xdr:col>
          <xdr:colOff>1200150</xdr:colOff>
          <xdr:row>8</xdr:row>
          <xdr:rowOff>171450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5</xdr:row>
          <xdr:rowOff>19050</xdr:rowOff>
        </xdr:from>
        <xdr:to>
          <xdr:col>1</xdr:col>
          <xdr:colOff>1076325</xdr:colOff>
          <xdr:row>5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5</xdr:row>
          <xdr:rowOff>19050</xdr:rowOff>
        </xdr:from>
        <xdr:to>
          <xdr:col>1</xdr:col>
          <xdr:colOff>1076325</xdr:colOff>
          <xdr:row>5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5</xdr:row>
          <xdr:rowOff>19050</xdr:rowOff>
        </xdr:from>
        <xdr:to>
          <xdr:col>1</xdr:col>
          <xdr:colOff>1076325</xdr:colOff>
          <xdr:row>5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4</xdr:row>
          <xdr:rowOff>38100</xdr:rowOff>
        </xdr:from>
        <xdr:to>
          <xdr:col>1</xdr:col>
          <xdr:colOff>1038225</xdr:colOff>
          <xdr:row>4</xdr:row>
          <xdr:rowOff>200025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5</xdr:row>
          <xdr:rowOff>28575</xdr:rowOff>
        </xdr:from>
        <xdr:to>
          <xdr:col>1</xdr:col>
          <xdr:colOff>1038225</xdr:colOff>
          <xdr:row>5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=""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6</xdr:row>
          <xdr:rowOff>19050</xdr:rowOff>
        </xdr:from>
        <xdr:to>
          <xdr:col>1</xdr:col>
          <xdr:colOff>1038225</xdr:colOff>
          <xdr:row>6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=""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3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7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1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33.xml"/><Relationship Id="rId4" Type="http://schemas.openxmlformats.org/officeDocument/2006/relationships/ctrlProp" Target="../ctrlProps/ctrlProp32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36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37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8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9.xml"/><Relationship Id="rId4" Type="http://schemas.openxmlformats.org/officeDocument/2006/relationships/ctrlProp" Target="../ctrlProps/ctrlProp3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8"/>
  <sheetViews>
    <sheetView showGridLines="0" tabSelected="1" workbookViewId="0">
      <selection activeCell="G7" sqref="G7"/>
    </sheetView>
  </sheetViews>
  <sheetFormatPr defaultRowHeight="15" x14ac:dyDescent="0.25"/>
  <cols>
    <col min="1" max="1" width="5.7109375" style="140" customWidth="1"/>
    <col min="2" max="2" width="4.7109375" style="140" customWidth="1"/>
    <col min="3" max="3" width="12.7109375" style="140" customWidth="1"/>
    <col min="4" max="4" width="14.85546875" style="140" customWidth="1"/>
    <col min="5" max="5" width="4" style="140" customWidth="1"/>
    <col min="6" max="6" width="14.28515625" style="140" customWidth="1"/>
    <col min="7" max="7" width="14.28515625" style="140" bestFit="1" customWidth="1"/>
    <col min="8" max="8" width="21.140625" style="140" customWidth="1"/>
    <col min="9" max="9" width="5.7109375" style="140" customWidth="1"/>
    <col min="10" max="16384" width="9.140625" style="140"/>
  </cols>
  <sheetData>
    <row r="1" spans="2:8" ht="19.5" customHeight="1" x14ac:dyDescent="0.25"/>
    <row r="2" spans="2:8" ht="18.75" x14ac:dyDescent="0.25">
      <c r="B2" s="142" t="s">
        <v>231</v>
      </c>
    </row>
    <row r="3" spans="2:8" s="163" customFormat="1" ht="18" customHeight="1" x14ac:dyDescent="0.25">
      <c r="B3" s="316" t="str">
        <f>"="&amp;G12&amp;"(data dalam range)"</f>
        <v>=MAX(data dalam range)</v>
      </c>
      <c r="C3" s="316"/>
      <c r="D3" s="316"/>
    </row>
    <row r="4" spans="2:8" s="163" customFormat="1" ht="8.25" customHeight="1" x14ac:dyDescent="0.25">
      <c r="B4" s="162"/>
    </row>
    <row r="5" spans="2:8" ht="16.5" customHeight="1" thickBot="1" x14ac:dyDescent="0.3">
      <c r="B5" s="144" t="s">
        <v>0</v>
      </c>
      <c r="C5" s="145" t="s">
        <v>1</v>
      </c>
      <c r="D5" s="144" t="s">
        <v>2</v>
      </c>
    </row>
    <row r="6" spans="2:8" ht="16.5" customHeight="1" x14ac:dyDescent="0.25">
      <c r="B6" s="143">
        <v>1</v>
      </c>
      <c r="C6" s="154" t="s">
        <v>3</v>
      </c>
      <c r="D6" s="155">
        <v>1250075000</v>
      </c>
      <c r="F6" s="146" t="s">
        <v>232</v>
      </c>
      <c r="G6" s="141"/>
    </row>
    <row r="7" spans="2:8" ht="16.5" customHeight="1" x14ac:dyDescent="0.25">
      <c r="B7" s="143">
        <v>2</v>
      </c>
      <c r="C7" s="154" t="s">
        <v>4</v>
      </c>
      <c r="D7" s="156">
        <v>2154870000</v>
      </c>
      <c r="F7" s="148" t="s">
        <v>234</v>
      </c>
      <c r="G7" s="147">
        <f>MAX(Transaksi)</f>
        <v>4052500000</v>
      </c>
      <c r="H7" s="149" t="str">
        <f ca="1">_xlfn.FORMULATEXT(G7)</f>
        <v>=MAX(Transaksi)</v>
      </c>
    </row>
    <row r="8" spans="2:8" ht="16.5" customHeight="1" x14ac:dyDescent="0.25">
      <c r="B8" s="143">
        <v>3</v>
      </c>
      <c r="C8" s="154" t="s">
        <v>5</v>
      </c>
      <c r="D8" s="156">
        <v>3245875000</v>
      </c>
      <c r="F8" s="148" t="s">
        <v>228</v>
      </c>
      <c r="G8" s="147">
        <f>MIN(Transaksi)</f>
        <v>978500000</v>
      </c>
      <c r="H8" s="149" t="str">
        <f t="shared" ref="H8:H10" ca="1" si="0">_xlfn.FORMULATEXT(G8)</f>
        <v>=MIN(Transaksi)</v>
      </c>
    </row>
    <row r="9" spans="2:8" ht="16.5" customHeight="1" x14ac:dyDescent="0.25">
      <c r="B9" s="143">
        <v>4</v>
      </c>
      <c r="C9" s="154" t="s">
        <v>6</v>
      </c>
      <c r="D9" s="156">
        <v>1985750000</v>
      </c>
      <c r="F9" s="148" t="s">
        <v>229</v>
      </c>
      <c r="G9" s="147">
        <f>AVERAGE(Transaksi)</f>
        <v>2145584000</v>
      </c>
      <c r="H9" s="149" t="str">
        <f t="shared" ca="1" si="0"/>
        <v>=AVERAGE(Transaksi)</v>
      </c>
    </row>
    <row r="10" spans="2:8" ht="16.5" customHeight="1" x14ac:dyDescent="0.25">
      <c r="B10" s="143">
        <v>5</v>
      </c>
      <c r="C10" s="154" t="s">
        <v>7</v>
      </c>
      <c r="D10" s="156">
        <v>2057500000</v>
      </c>
      <c r="F10" s="148" t="s">
        <v>230</v>
      </c>
      <c r="G10" s="147">
        <f>SUM(Transaksi)</f>
        <v>25747008000</v>
      </c>
      <c r="H10" s="149" t="str">
        <f t="shared" ca="1" si="0"/>
        <v>=SUM(Transaksi)</v>
      </c>
    </row>
    <row r="11" spans="2:8" ht="16.5" customHeight="1" x14ac:dyDescent="0.25">
      <c r="B11" s="143">
        <v>6</v>
      </c>
      <c r="C11" s="154" t="s">
        <v>8</v>
      </c>
      <c r="D11" s="156">
        <v>4052500000</v>
      </c>
    </row>
    <row r="12" spans="2:8" ht="16.5" customHeight="1" x14ac:dyDescent="0.25">
      <c r="B12" s="143">
        <v>7</v>
      </c>
      <c r="C12" s="154" t="s">
        <v>9</v>
      </c>
      <c r="D12" s="156">
        <v>2158780000</v>
      </c>
      <c r="E12" s="152">
        <v>1</v>
      </c>
      <c r="F12" s="153" t="s">
        <v>235</v>
      </c>
      <c r="G12" s="150" t="str">
        <f>IF(E12=1,"MAX",IF(E12=2,"MIN",IF(E12=3,"AVERAGE","SUM")))</f>
        <v>MAX</v>
      </c>
      <c r="H12" s="151"/>
    </row>
    <row r="13" spans="2:8" ht="16.5" customHeight="1" x14ac:dyDescent="0.25">
      <c r="B13" s="143">
        <v>8</v>
      </c>
      <c r="C13" s="154" t="s">
        <v>10</v>
      </c>
      <c r="D13" s="156">
        <v>978500000</v>
      </c>
      <c r="F13" s="315" t="str">
        <f>IF(E12&lt;4,"menampilkan nilai "&amp;IF(E12=1,"terbesar ",IF(E12=2,"terkecil ","rata-rata "))&amp;"yang terdapat pada suatu range","menjumlah angka dalam suatu range")</f>
        <v>menampilkan nilai terbesar yang terdapat pada suatu range</v>
      </c>
      <c r="G13" s="315"/>
      <c r="H13" s="315"/>
    </row>
    <row r="14" spans="2:8" ht="16.5" customHeight="1" x14ac:dyDescent="0.25">
      <c r="B14" s="143">
        <v>9</v>
      </c>
      <c r="C14" s="154" t="s">
        <v>11</v>
      </c>
      <c r="D14" s="156">
        <v>2014578000</v>
      </c>
      <c r="F14" s="315"/>
      <c r="G14" s="315"/>
      <c r="H14" s="315"/>
    </row>
    <row r="15" spans="2:8" ht="16.5" customHeight="1" x14ac:dyDescent="0.25">
      <c r="B15" s="143">
        <v>10</v>
      </c>
      <c r="C15" s="154" t="s">
        <v>12</v>
      </c>
      <c r="D15" s="156">
        <v>1245780000</v>
      </c>
      <c r="G15" s="141"/>
    </row>
    <row r="16" spans="2:8" ht="16.5" customHeight="1" x14ac:dyDescent="0.25">
      <c r="B16" s="143">
        <v>11</v>
      </c>
      <c r="C16" s="154" t="s">
        <v>13</v>
      </c>
      <c r="D16" s="156">
        <v>2457800000</v>
      </c>
      <c r="E16" s="158" t="s">
        <v>236</v>
      </c>
      <c r="G16" s="141"/>
    </row>
    <row r="17" spans="2:7" ht="16.5" customHeight="1" thickBot="1" x14ac:dyDescent="0.3">
      <c r="B17" s="143">
        <v>12</v>
      </c>
      <c r="C17" s="154" t="s">
        <v>14</v>
      </c>
      <c r="D17" s="157">
        <v>2145000000</v>
      </c>
      <c r="G17" s="141"/>
    </row>
    <row r="18" spans="2:7" ht="19.5" customHeight="1" x14ac:dyDescent="0.25"/>
  </sheetData>
  <mergeCells count="2">
    <mergeCell ref="F13:H14"/>
    <mergeCell ref="B3:D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5</xdr:col>
                    <xdr:colOff>371475</xdr:colOff>
                    <xdr:row>11</xdr:row>
                    <xdr:rowOff>19050</xdr:rowOff>
                  </from>
                  <to>
                    <xdr:col>5</xdr:col>
                    <xdr:colOff>857250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workbookViewId="0">
      <selection activeCell="C7" sqref="C7"/>
    </sheetView>
  </sheetViews>
  <sheetFormatPr defaultRowHeight="15" customHeight="1" x14ac:dyDescent="0.25"/>
  <cols>
    <col min="1" max="1" width="5.85546875" style="1" customWidth="1"/>
    <col min="2" max="2" width="28" style="1" customWidth="1"/>
    <col min="3" max="3" width="15.42578125" style="1" customWidth="1"/>
    <col min="4" max="4" width="20.7109375" style="1" customWidth="1"/>
    <col min="5" max="5" width="5.85546875" style="2" customWidth="1"/>
    <col min="6" max="8" width="9.140625" style="2"/>
    <col min="9" max="16384" width="9.140625" style="1"/>
  </cols>
  <sheetData>
    <row r="1" spans="1:8" ht="20.25" customHeight="1" x14ac:dyDescent="0.25">
      <c r="A1" s="2"/>
      <c r="B1" s="2"/>
      <c r="C1" s="2"/>
      <c r="D1" s="2"/>
    </row>
    <row r="2" spans="1:8" ht="18.75" customHeight="1" x14ac:dyDescent="0.25">
      <c r="B2" s="3" t="s">
        <v>47</v>
      </c>
      <c r="C2" s="47"/>
      <c r="D2" s="47"/>
    </row>
    <row r="3" spans="1:8" ht="18" customHeight="1" x14ac:dyDescent="0.25">
      <c r="B3" s="48" t="s">
        <v>48</v>
      </c>
      <c r="C3" s="49"/>
      <c r="D3" s="47"/>
    </row>
    <row r="4" spans="1:8" ht="15" customHeight="1" x14ac:dyDescent="0.25">
      <c r="B4" s="6" t="s">
        <v>49</v>
      </c>
      <c r="C4" s="47"/>
      <c r="D4" s="47"/>
    </row>
    <row r="5" spans="1:8" ht="15" customHeight="1" x14ac:dyDescent="0.25">
      <c r="B5" s="50" t="s">
        <v>50</v>
      </c>
      <c r="C5" s="47"/>
      <c r="D5" s="47"/>
    </row>
    <row r="6" spans="1:8" ht="15" customHeight="1" x14ac:dyDescent="0.25">
      <c r="A6" s="2"/>
      <c r="B6" s="12" t="s">
        <v>51</v>
      </c>
      <c r="C6" s="51" t="s">
        <v>52</v>
      </c>
      <c r="D6" s="12" t="s">
        <v>20</v>
      </c>
      <c r="E6" s="5"/>
      <c r="H6" s="1"/>
    </row>
    <row r="7" spans="1:8" ht="15" customHeight="1" x14ac:dyDescent="0.25">
      <c r="A7" s="52"/>
      <c r="B7" s="53">
        <v>2.0949074074074075E-2</v>
      </c>
      <c r="C7" s="54">
        <f>HOUR(B7)</f>
        <v>0</v>
      </c>
      <c r="D7" s="38" t="str">
        <f ca="1">_xlfn.FORMULATEXT(C7)</f>
        <v>=HOUR(B7)</v>
      </c>
      <c r="H7" s="1"/>
    </row>
    <row r="8" spans="1:8" x14ac:dyDescent="0.25">
      <c r="A8" s="52"/>
      <c r="B8" s="53">
        <v>0.57326388888888891</v>
      </c>
      <c r="C8" s="54">
        <f>HOUR(B8)</f>
        <v>13</v>
      </c>
      <c r="D8" s="38" t="str">
        <f t="shared" ref="D8:D12" ca="1" si="0">_xlfn.FORMULATEXT(C8)</f>
        <v>=HOUR(B8)</v>
      </c>
      <c r="H8" s="1"/>
    </row>
    <row r="9" spans="1:8" x14ac:dyDescent="0.25">
      <c r="A9" s="2"/>
      <c r="B9" s="53">
        <v>0.87204861111111109</v>
      </c>
      <c r="C9" s="55">
        <f>HOUR(B9)</f>
        <v>20</v>
      </c>
      <c r="D9" s="38" t="str">
        <f t="shared" ca="1" si="0"/>
        <v>=HOUR(B9)</v>
      </c>
      <c r="G9" s="1"/>
      <c r="H9" s="1"/>
    </row>
    <row r="10" spans="1:8" x14ac:dyDescent="0.25">
      <c r="A10" s="2"/>
      <c r="B10" s="53">
        <v>0.94797453703703705</v>
      </c>
      <c r="C10" s="55">
        <f>HOUR(B10)</f>
        <v>22</v>
      </c>
      <c r="D10" s="38" t="str">
        <f t="shared" ca="1" si="0"/>
        <v>=HOUR(B10)</v>
      </c>
    </row>
    <row r="11" spans="1:8" x14ac:dyDescent="0.25">
      <c r="A11" s="2"/>
      <c r="B11" s="53"/>
      <c r="C11" s="56">
        <f>HOUR("12:15:30")</f>
        <v>12</v>
      </c>
      <c r="D11" s="38" t="str">
        <f t="shared" ca="1" si="0"/>
        <v>=HOUR("12:15:30")</v>
      </c>
      <c r="H11" s="1"/>
    </row>
    <row r="12" spans="1:8" x14ac:dyDescent="0.25">
      <c r="A12" s="2"/>
      <c r="B12" s="57" t="s">
        <v>53</v>
      </c>
      <c r="C12" s="58">
        <f ca="1">HOUR(NOW())</f>
        <v>14</v>
      </c>
      <c r="D12" s="59" t="str">
        <f t="shared" ca="1" si="0"/>
        <v>=HOUR(NOW())</v>
      </c>
      <c r="H12" s="1"/>
    </row>
    <row r="13" spans="1:8" ht="19.5" customHeight="1" x14ac:dyDescent="0.25">
      <c r="A13" s="2"/>
      <c r="B13" s="2"/>
      <c r="C13" s="2"/>
      <c r="D13" s="2"/>
    </row>
    <row r="14" spans="1:8" ht="15" customHeight="1" x14ac:dyDescent="0.25">
      <c r="A14" s="2"/>
      <c r="B14" s="2"/>
      <c r="C14" s="2"/>
      <c r="D14" s="2"/>
    </row>
    <row r="15" spans="1:8" ht="15" customHeight="1" x14ac:dyDescent="0.25">
      <c r="A15" s="2"/>
      <c r="B15" s="2"/>
      <c r="C15" s="2"/>
      <c r="D15" s="2"/>
    </row>
    <row r="16" spans="1:8" ht="15" customHeight="1" x14ac:dyDescent="0.25">
      <c r="A16" s="2"/>
      <c r="B16" s="2"/>
      <c r="C16" s="2"/>
      <c r="D16" s="2"/>
    </row>
    <row r="17" spans="1:4" ht="15" customHeight="1" x14ac:dyDescent="0.25">
      <c r="A17" s="2"/>
      <c r="B17" s="2"/>
      <c r="C17" s="2"/>
      <c r="D17" s="2"/>
    </row>
    <row r="18" spans="1:4" ht="15" customHeight="1" x14ac:dyDescent="0.25">
      <c r="A18" s="2"/>
      <c r="B18" s="2"/>
      <c r="C18" s="2"/>
      <c r="D18" s="2"/>
    </row>
    <row r="19" spans="1:4" ht="15" customHeight="1" x14ac:dyDescent="0.25">
      <c r="A19" s="2"/>
      <c r="B19" s="2"/>
      <c r="C19" s="2"/>
      <c r="D19" s="2"/>
    </row>
    <row r="20" spans="1:4" ht="15" customHeight="1" x14ac:dyDescent="0.25">
      <c r="A20" s="2"/>
      <c r="B20" s="2"/>
      <c r="C20" s="2"/>
      <c r="D20" s="2"/>
    </row>
    <row r="21" spans="1:4" ht="15" customHeight="1" x14ac:dyDescent="0.25">
      <c r="A21" s="2"/>
      <c r="B21" s="2"/>
      <c r="C21" s="2"/>
      <c r="D21" s="2"/>
    </row>
    <row r="22" spans="1:4" ht="15" customHeight="1" x14ac:dyDescent="0.25">
      <c r="A22" s="2"/>
      <c r="B22" s="2"/>
      <c r="C22" s="2"/>
      <c r="D22" s="2"/>
    </row>
    <row r="23" spans="1:4" ht="15" customHeight="1" x14ac:dyDescent="0.25">
      <c r="A23" s="2"/>
      <c r="B23" s="2"/>
      <c r="C23" s="2"/>
      <c r="D23" s="2"/>
    </row>
    <row r="24" spans="1:4" ht="15" customHeight="1" x14ac:dyDescent="0.25">
      <c r="A24" s="2"/>
      <c r="B24" s="2"/>
      <c r="C24" s="2"/>
      <c r="D24" s="2"/>
    </row>
    <row r="25" spans="1:4" ht="15" customHeight="1" x14ac:dyDescent="0.25">
      <c r="A25" s="2"/>
      <c r="B25" s="2"/>
      <c r="C25" s="2"/>
      <c r="D25" s="2"/>
    </row>
    <row r="26" spans="1:4" ht="15" customHeight="1" x14ac:dyDescent="0.25">
      <c r="A26" s="2"/>
      <c r="B26" s="2"/>
      <c r="C26" s="2"/>
      <c r="D26" s="2"/>
    </row>
    <row r="27" spans="1:4" ht="15" customHeight="1" x14ac:dyDescent="0.25">
      <c r="A27" s="2"/>
      <c r="B27" s="2"/>
      <c r="C27" s="2"/>
      <c r="D27" s="2"/>
    </row>
    <row r="28" spans="1:4" ht="15" customHeight="1" x14ac:dyDescent="0.25">
      <c r="A28" s="2"/>
      <c r="B28" s="2"/>
      <c r="C28" s="2"/>
      <c r="D28" s="2"/>
    </row>
    <row r="29" spans="1:4" ht="15" customHeight="1" x14ac:dyDescent="0.25">
      <c r="A29" s="2"/>
      <c r="B29" s="2"/>
      <c r="C29" s="2"/>
      <c r="D29" s="2"/>
    </row>
    <row r="30" spans="1:4" ht="15" customHeight="1" x14ac:dyDescent="0.25">
      <c r="A30" s="2"/>
      <c r="B30" s="2"/>
      <c r="C30" s="2"/>
      <c r="D30" s="2"/>
    </row>
    <row r="31" spans="1:4" ht="15" customHeight="1" x14ac:dyDescent="0.25">
      <c r="A31" s="2"/>
      <c r="B31" s="2"/>
      <c r="C31" s="2"/>
      <c r="D31" s="2"/>
    </row>
    <row r="32" spans="1:4" ht="15" customHeight="1" x14ac:dyDescent="0.25">
      <c r="A32" s="2"/>
      <c r="B32" s="2"/>
      <c r="C32" s="2"/>
      <c r="D32" s="2"/>
    </row>
    <row r="33" spans="1:4" ht="15" customHeight="1" x14ac:dyDescent="0.25">
      <c r="A33" s="2"/>
      <c r="B33" s="2"/>
      <c r="C33" s="2"/>
      <c r="D33" s="2"/>
    </row>
    <row r="34" spans="1:4" ht="15" customHeight="1" x14ac:dyDescent="0.25">
      <c r="A34" s="2"/>
      <c r="B34" s="2"/>
      <c r="C34" s="2"/>
      <c r="D34" s="2"/>
    </row>
    <row r="35" spans="1:4" ht="15" customHeight="1" x14ac:dyDescent="0.25">
      <c r="A35" s="2"/>
      <c r="B35" s="2"/>
      <c r="C35" s="2"/>
      <c r="D35" s="2"/>
    </row>
    <row r="36" spans="1:4" ht="15" customHeight="1" x14ac:dyDescent="0.25">
      <c r="A36" s="2"/>
      <c r="B36" s="2"/>
      <c r="C36" s="2"/>
      <c r="D36" s="2"/>
    </row>
    <row r="37" spans="1:4" ht="15" customHeight="1" x14ac:dyDescent="0.25">
      <c r="A37" s="2"/>
      <c r="B37" s="2"/>
      <c r="C37" s="2"/>
      <c r="D37" s="2"/>
    </row>
    <row r="38" spans="1:4" ht="15" customHeight="1" x14ac:dyDescent="0.25">
      <c r="A38" s="2"/>
      <c r="B38" s="2"/>
      <c r="C38" s="2"/>
      <c r="D38" s="2"/>
    </row>
    <row r="39" spans="1:4" ht="15" customHeight="1" x14ac:dyDescent="0.25">
      <c r="A39" s="2"/>
      <c r="B39" s="2"/>
      <c r="C39" s="2"/>
      <c r="D39" s="2"/>
    </row>
    <row r="40" spans="1:4" ht="15" customHeight="1" x14ac:dyDescent="0.25">
      <c r="A40" s="2"/>
      <c r="B40" s="2"/>
      <c r="C40" s="2"/>
      <c r="D40" s="2"/>
    </row>
    <row r="41" spans="1:4" ht="15" customHeight="1" x14ac:dyDescent="0.25">
      <c r="A41" s="2"/>
      <c r="B41" s="2"/>
      <c r="C41" s="2"/>
      <c r="D41" s="2"/>
    </row>
    <row r="42" spans="1:4" ht="15" customHeight="1" x14ac:dyDescent="0.25">
      <c r="A42" s="2"/>
      <c r="B42" s="2"/>
      <c r="C42" s="2"/>
      <c r="D42" s="2"/>
    </row>
    <row r="43" spans="1:4" ht="15" customHeight="1" x14ac:dyDescent="0.25">
      <c r="A43" s="2"/>
      <c r="B43" s="2"/>
      <c r="C43" s="2"/>
      <c r="D43" s="2"/>
    </row>
    <row r="44" spans="1:4" ht="15" customHeight="1" x14ac:dyDescent="0.25">
      <c r="A44" s="2"/>
      <c r="B44" s="2"/>
      <c r="C44" s="2"/>
      <c r="D44" s="2"/>
    </row>
    <row r="45" spans="1:4" ht="15" customHeight="1" x14ac:dyDescent="0.25">
      <c r="A45" s="2"/>
      <c r="B45" s="2"/>
      <c r="C45" s="2"/>
      <c r="D45" s="2"/>
    </row>
    <row r="46" spans="1:4" ht="15" customHeight="1" x14ac:dyDescent="0.25">
      <c r="A46" s="2"/>
      <c r="B46" s="2"/>
      <c r="C46" s="2"/>
      <c r="D46" s="2"/>
    </row>
    <row r="47" spans="1:4" ht="15" customHeight="1" x14ac:dyDescent="0.25">
      <c r="A47" s="2"/>
      <c r="B47" s="2"/>
      <c r="C47" s="2"/>
      <c r="D47" s="2"/>
    </row>
    <row r="48" spans="1:4" ht="15" customHeight="1" x14ac:dyDescent="0.25">
      <c r="A48" s="2"/>
      <c r="B48" s="2"/>
      <c r="C48" s="2"/>
      <c r="D48" s="2"/>
    </row>
    <row r="49" spans="1:4" ht="15" customHeight="1" x14ac:dyDescent="0.25">
      <c r="A49" s="2"/>
      <c r="B49" s="2"/>
      <c r="C49" s="2"/>
      <c r="D49" s="2"/>
    </row>
    <row r="50" spans="1:4" ht="15" customHeight="1" x14ac:dyDescent="0.25">
      <c r="A50" s="2"/>
      <c r="B50" s="2"/>
      <c r="C50" s="2"/>
      <c r="D50" s="2"/>
    </row>
    <row r="51" spans="1:4" ht="15" customHeight="1" x14ac:dyDescent="0.25">
      <c r="A51" s="2"/>
      <c r="B51" s="2"/>
      <c r="C51" s="2"/>
      <c r="D51" s="2"/>
    </row>
    <row r="52" spans="1:4" ht="15" customHeight="1" x14ac:dyDescent="0.25">
      <c r="A52" s="2"/>
      <c r="B52" s="2"/>
      <c r="C52" s="2"/>
      <c r="D52" s="2"/>
    </row>
    <row r="53" spans="1:4" ht="15" customHeight="1" x14ac:dyDescent="0.25">
      <c r="A53" s="2"/>
      <c r="B53" s="2"/>
      <c r="C53" s="2"/>
      <c r="D53" s="2"/>
    </row>
    <row r="54" spans="1:4" ht="15" customHeight="1" x14ac:dyDescent="0.25">
      <c r="A54" s="2"/>
      <c r="B54" s="2"/>
      <c r="C54" s="2"/>
      <c r="D54" s="2"/>
    </row>
    <row r="55" spans="1:4" ht="15" customHeight="1" x14ac:dyDescent="0.25">
      <c r="A55" s="2"/>
      <c r="B55" s="2"/>
      <c r="C55" s="2"/>
      <c r="D55" s="2"/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workbookViewId="0">
      <selection activeCell="C7" sqref="C7"/>
    </sheetView>
  </sheetViews>
  <sheetFormatPr defaultRowHeight="15" customHeight="1" x14ac:dyDescent="0.25"/>
  <cols>
    <col min="1" max="1" width="5.85546875" style="1" customWidth="1"/>
    <col min="2" max="2" width="28" style="1" customWidth="1"/>
    <col min="3" max="3" width="15.42578125" style="1" customWidth="1"/>
    <col min="4" max="4" width="22.7109375" style="1" customWidth="1"/>
    <col min="5" max="5" width="5.85546875" style="2" customWidth="1"/>
    <col min="6" max="8" width="9.140625" style="2"/>
    <col min="9" max="16384" width="9.140625" style="1"/>
  </cols>
  <sheetData>
    <row r="1" spans="1:8" ht="20.25" customHeight="1" x14ac:dyDescent="0.25">
      <c r="A1" s="2"/>
      <c r="B1" s="2"/>
      <c r="C1" s="2"/>
      <c r="D1" s="2"/>
    </row>
    <row r="2" spans="1:8" ht="18.75" customHeight="1" x14ac:dyDescent="0.25">
      <c r="B2" s="3" t="s">
        <v>54</v>
      </c>
      <c r="C2" s="47"/>
      <c r="D2" s="47"/>
    </row>
    <row r="3" spans="1:8" ht="18" customHeight="1" x14ac:dyDescent="0.25">
      <c r="B3" s="329" t="s">
        <v>55</v>
      </c>
      <c r="C3" s="329"/>
      <c r="D3" s="47"/>
    </row>
    <row r="4" spans="1:8" ht="15" customHeight="1" x14ac:dyDescent="0.25">
      <c r="B4" s="6" t="s">
        <v>56</v>
      </c>
      <c r="C4" s="47"/>
      <c r="D4" s="47"/>
    </row>
    <row r="5" spans="1:8" ht="15" customHeight="1" x14ac:dyDescent="0.25">
      <c r="B5" s="50" t="s">
        <v>57</v>
      </c>
      <c r="C5" s="47"/>
      <c r="D5" s="47"/>
    </row>
    <row r="6" spans="1:8" ht="15" customHeight="1" x14ac:dyDescent="0.25">
      <c r="A6" s="2"/>
      <c r="B6" s="12" t="s">
        <v>51</v>
      </c>
      <c r="C6" s="51" t="s">
        <v>52</v>
      </c>
      <c r="D6" s="12" t="s">
        <v>20</v>
      </c>
      <c r="E6" s="5"/>
      <c r="H6" s="1"/>
    </row>
    <row r="7" spans="1:8" ht="15" customHeight="1" x14ac:dyDescent="0.25">
      <c r="A7" s="52"/>
      <c r="B7" s="53">
        <v>2.0949074074074075E-2</v>
      </c>
      <c r="C7" s="54">
        <f>MINUTE(B7)</f>
        <v>30</v>
      </c>
      <c r="D7" s="38" t="str">
        <f ca="1">_xlfn.FORMULATEXT(C7)</f>
        <v>=MINUTE(B7)</v>
      </c>
      <c r="H7" s="1"/>
    </row>
    <row r="8" spans="1:8" x14ac:dyDescent="0.25">
      <c r="A8" s="52"/>
      <c r="B8" s="53">
        <v>0.57326388888888891</v>
      </c>
      <c r="C8" s="54">
        <f t="shared" ref="C8:C10" si="0">MINUTE(B8)</f>
        <v>45</v>
      </c>
      <c r="D8" s="38" t="str">
        <f t="shared" ref="D8:D12" ca="1" si="1">_xlfn.FORMULATEXT(C8)</f>
        <v>=MINUTE(B8)</v>
      </c>
      <c r="H8" s="1"/>
    </row>
    <row r="9" spans="1:8" x14ac:dyDescent="0.25">
      <c r="A9" s="2"/>
      <c r="B9" s="53">
        <v>0.87204861111111109</v>
      </c>
      <c r="C9" s="55">
        <f t="shared" si="0"/>
        <v>55</v>
      </c>
      <c r="D9" s="38" t="str">
        <f t="shared" ca="1" si="1"/>
        <v>=MINUTE(B9)</v>
      </c>
      <c r="H9" s="1"/>
    </row>
    <row r="10" spans="1:8" x14ac:dyDescent="0.25">
      <c r="A10" s="2"/>
      <c r="B10" s="53">
        <v>0.94797453703703705</v>
      </c>
      <c r="C10" s="55">
        <f t="shared" si="0"/>
        <v>45</v>
      </c>
      <c r="D10" s="38" t="str">
        <f t="shared" ca="1" si="1"/>
        <v>=MINUTE(B10)</v>
      </c>
      <c r="H10" s="1"/>
    </row>
    <row r="11" spans="1:8" x14ac:dyDescent="0.25">
      <c r="A11" s="2"/>
      <c r="B11" s="53"/>
      <c r="C11" s="56">
        <f>MINUTE("12:15:30")</f>
        <v>15</v>
      </c>
      <c r="D11" s="38" t="str">
        <f t="shared" ca="1" si="1"/>
        <v>=MINUTE("12:15:30")</v>
      </c>
      <c r="H11" s="1"/>
    </row>
    <row r="12" spans="1:8" ht="15" customHeight="1" x14ac:dyDescent="0.25">
      <c r="A12" s="2"/>
      <c r="B12" s="57" t="s">
        <v>53</v>
      </c>
      <c r="C12" s="58">
        <f ca="1">MINUTE(NOW())</f>
        <v>52</v>
      </c>
      <c r="D12" s="38" t="str">
        <f t="shared" ca="1" si="1"/>
        <v>=MINUTE(NOW())</v>
      </c>
      <c r="H12" s="1"/>
    </row>
    <row r="13" spans="1:8" ht="19.5" customHeight="1" x14ac:dyDescent="0.25">
      <c r="A13" s="2"/>
      <c r="B13" s="2"/>
      <c r="C13" s="2"/>
      <c r="D13" s="2"/>
    </row>
    <row r="14" spans="1:8" ht="15" customHeight="1" x14ac:dyDescent="0.25">
      <c r="A14" s="2"/>
      <c r="B14" s="2"/>
      <c r="C14" s="2"/>
      <c r="D14" s="2"/>
    </row>
    <row r="15" spans="1:8" ht="15" customHeight="1" x14ac:dyDescent="0.25">
      <c r="A15" s="2"/>
      <c r="B15" s="2"/>
      <c r="C15" s="2"/>
      <c r="D15" s="2"/>
    </row>
    <row r="16" spans="1:8" ht="15" customHeight="1" x14ac:dyDescent="0.25">
      <c r="A16" s="2"/>
      <c r="B16" s="2"/>
      <c r="C16" s="2"/>
      <c r="D16" s="2"/>
    </row>
    <row r="17" spans="1:4" ht="15" customHeight="1" x14ac:dyDescent="0.25">
      <c r="A17" s="2"/>
      <c r="B17" s="2"/>
      <c r="C17" s="2"/>
      <c r="D17" s="2"/>
    </row>
    <row r="18" spans="1:4" ht="15" customHeight="1" x14ac:dyDescent="0.25">
      <c r="A18" s="2"/>
      <c r="B18" s="2"/>
      <c r="C18" s="2"/>
      <c r="D18" s="2"/>
    </row>
    <row r="19" spans="1:4" ht="15" customHeight="1" x14ac:dyDescent="0.25">
      <c r="A19" s="2"/>
      <c r="B19" s="2"/>
      <c r="C19" s="2"/>
      <c r="D19" s="2"/>
    </row>
    <row r="20" spans="1:4" ht="15" customHeight="1" x14ac:dyDescent="0.25">
      <c r="A20" s="2"/>
      <c r="B20" s="2"/>
      <c r="C20" s="2"/>
      <c r="D20" s="2"/>
    </row>
    <row r="21" spans="1:4" ht="15" customHeight="1" x14ac:dyDescent="0.25">
      <c r="A21" s="2"/>
      <c r="B21" s="2"/>
      <c r="C21" s="2"/>
      <c r="D21" s="2"/>
    </row>
    <row r="22" spans="1:4" ht="15" customHeight="1" x14ac:dyDescent="0.25">
      <c r="A22" s="2"/>
      <c r="B22" s="2"/>
      <c r="C22" s="2"/>
      <c r="D22" s="2"/>
    </row>
    <row r="23" spans="1:4" ht="15" customHeight="1" x14ac:dyDescent="0.25">
      <c r="A23" s="2"/>
      <c r="B23" s="2"/>
      <c r="C23" s="2"/>
      <c r="D23" s="2"/>
    </row>
    <row r="24" spans="1:4" ht="15" customHeight="1" x14ac:dyDescent="0.25">
      <c r="A24" s="2"/>
      <c r="B24" s="2"/>
      <c r="C24" s="2"/>
      <c r="D24" s="2"/>
    </row>
    <row r="25" spans="1:4" ht="15" customHeight="1" x14ac:dyDescent="0.25">
      <c r="A25" s="2"/>
      <c r="B25" s="2"/>
      <c r="C25" s="2"/>
      <c r="D25" s="2"/>
    </row>
    <row r="26" spans="1:4" ht="15" customHeight="1" x14ac:dyDescent="0.25">
      <c r="A26" s="2"/>
      <c r="B26" s="2"/>
      <c r="C26" s="2"/>
      <c r="D26" s="2"/>
    </row>
    <row r="27" spans="1:4" ht="15" customHeight="1" x14ac:dyDescent="0.25">
      <c r="A27" s="2"/>
      <c r="B27" s="2"/>
      <c r="C27" s="2"/>
      <c r="D27" s="2"/>
    </row>
    <row r="28" spans="1:4" ht="15" customHeight="1" x14ac:dyDescent="0.25">
      <c r="A28" s="2"/>
      <c r="B28" s="2"/>
      <c r="C28" s="2"/>
      <c r="D28" s="2"/>
    </row>
    <row r="29" spans="1:4" ht="15" customHeight="1" x14ac:dyDescent="0.25">
      <c r="A29" s="2"/>
      <c r="B29" s="2"/>
      <c r="C29" s="2"/>
      <c r="D29" s="2"/>
    </row>
    <row r="30" spans="1:4" ht="15" customHeight="1" x14ac:dyDescent="0.25">
      <c r="A30" s="2"/>
      <c r="B30" s="2"/>
      <c r="C30" s="2"/>
      <c r="D30" s="2"/>
    </row>
    <row r="31" spans="1:4" ht="15" customHeight="1" x14ac:dyDescent="0.25">
      <c r="A31" s="2"/>
      <c r="B31" s="2"/>
      <c r="C31" s="2"/>
      <c r="D31" s="2"/>
    </row>
    <row r="32" spans="1:4" ht="15" customHeight="1" x14ac:dyDescent="0.25">
      <c r="A32" s="2"/>
      <c r="B32" s="2"/>
      <c r="C32" s="2"/>
      <c r="D32" s="2"/>
    </row>
    <row r="33" spans="1:4" ht="15" customHeight="1" x14ac:dyDescent="0.25">
      <c r="A33" s="2"/>
      <c r="B33" s="2"/>
      <c r="C33" s="2"/>
      <c r="D33" s="2"/>
    </row>
    <row r="34" spans="1:4" ht="15" customHeight="1" x14ac:dyDescent="0.25">
      <c r="A34" s="2"/>
      <c r="B34" s="2"/>
      <c r="C34" s="2"/>
      <c r="D34" s="2"/>
    </row>
    <row r="35" spans="1:4" ht="15" customHeight="1" x14ac:dyDescent="0.25">
      <c r="A35" s="2"/>
      <c r="B35" s="2"/>
      <c r="C35" s="2"/>
      <c r="D35" s="2"/>
    </row>
    <row r="36" spans="1:4" ht="15" customHeight="1" x14ac:dyDescent="0.25">
      <c r="A36" s="2"/>
      <c r="B36" s="2"/>
      <c r="C36" s="2"/>
      <c r="D36" s="2"/>
    </row>
    <row r="37" spans="1:4" ht="15" customHeight="1" x14ac:dyDescent="0.25">
      <c r="A37" s="2"/>
      <c r="B37" s="2"/>
      <c r="C37" s="2"/>
      <c r="D37" s="2"/>
    </row>
    <row r="38" spans="1:4" ht="15" customHeight="1" x14ac:dyDescent="0.25">
      <c r="A38" s="2"/>
      <c r="B38" s="2"/>
      <c r="C38" s="2"/>
      <c r="D38" s="2"/>
    </row>
    <row r="39" spans="1:4" ht="15" customHeight="1" x14ac:dyDescent="0.25">
      <c r="A39" s="2"/>
      <c r="B39" s="2"/>
      <c r="C39" s="2"/>
      <c r="D39" s="2"/>
    </row>
    <row r="40" spans="1:4" ht="15" customHeight="1" x14ac:dyDescent="0.25">
      <c r="A40" s="2"/>
      <c r="B40" s="2"/>
      <c r="C40" s="2"/>
      <c r="D40" s="2"/>
    </row>
    <row r="41" spans="1:4" ht="15" customHeight="1" x14ac:dyDescent="0.25">
      <c r="A41" s="2"/>
      <c r="B41" s="2"/>
      <c r="C41" s="2"/>
      <c r="D41" s="2"/>
    </row>
    <row r="42" spans="1:4" ht="15" customHeight="1" x14ac:dyDescent="0.25">
      <c r="A42" s="2"/>
      <c r="B42" s="2"/>
      <c r="C42" s="2"/>
      <c r="D42" s="2"/>
    </row>
    <row r="43" spans="1:4" ht="15" customHeight="1" x14ac:dyDescent="0.25">
      <c r="A43" s="2"/>
      <c r="B43" s="2"/>
      <c r="C43" s="2"/>
      <c r="D43" s="2"/>
    </row>
    <row r="44" spans="1:4" ht="15" customHeight="1" x14ac:dyDescent="0.25">
      <c r="A44" s="2"/>
      <c r="B44" s="2"/>
      <c r="C44" s="2"/>
      <c r="D44" s="2"/>
    </row>
    <row r="45" spans="1:4" ht="15" customHeight="1" x14ac:dyDescent="0.25">
      <c r="A45" s="2"/>
      <c r="B45" s="2"/>
      <c r="C45" s="2"/>
      <c r="D45" s="2"/>
    </row>
    <row r="46" spans="1:4" ht="15" customHeight="1" x14ac:dyDescent="0.25">
      <c r="A46" s="2"/>
      <c r="B46" s="2"/>
      <c r="C46" s="2"/>
      <c r="D46" s="2"/>
    </row>
    <row r="47" spans="1:4" ht="15" customHeight="1" x14ac:dyDescent="0.25">
      <c r="A47" s="2"/>
      <c r="B47" s="2"/>
      <c r="C47" s="2"/>
      <c r="D47" s="2"/>
    </row>
    <row r="48" spans="1:4" ht="15" customHeight="1" x14ac:dyDescent="0.25">
      <c r="A48" s="2"/>
      <c r="B48" s="2"/>
      <c r="C48" s="2"/>
      <c r="D48" s="2"/>
    </row>
    <row r="49" spans="1:4" ht="15" customHeight="1" x14ac:dyDescent="0.25">
      <c r="A49" s="2"/>
      <c r="B49" s="2"/>
      <c r="C49" s="2"/>
      <c r="D49" s="2"/>
    </row>
    <row r="50" spans="1:4" ht="15" customHeight="1" x14ac:dyDescent="0.25">
      <c r="A50" s="2"/>
      <c r="B50" s="2"/>
      <c r="C50" s="2"/>
      <c r="D50" s="2"/>
    </row>
    <row r="51" spans="1:4" ht="15" customHeight="1" x14ac:dyDescent="0.25">
      <c r="A51" s="2"/>
      <c r="B51" s="2"/>
      <c r="C51" s="2"/>
      <c r="D51" s="2"/>
    </row>
    <row r="52" spans="1:4" ht="15" customHeight="1" x14ac:dyDescent="0.25">
      <c r="A52" s="2"/>
      <c r="B52" s="2"/>
      <c r="C52" s="2"/>
      <c r="D52" s="2"/>
    </row>
    <row r="53" spans="1:4" ht="15" customHeight="1" x14ac:dyDescent="0.25">
      <c r="A53" s="2"/>
      <c r="B53" s="2"/>
      <c r="C53" s="2"/>
      <c r="D53" s="2"/>
    </row>
    <row r="54" spans="1:4" ht="15" customHeight="1" x14ac:dyDescent="0.25">
      <c r="A54" s="2"/>
      <c r="B54" s="2"/>
      <c r="C54" s="2"/>
      <c r="D54" s="2"/>
    </row>
    <row r="55" spans="1:4" ht="15" customHeight="1" x14ac:dyDescent="0.25">
      <c r="A55" s="2"/>
      <c r="B55" s="2"/>
      <c r="C55" s="2"/>
      <c r="D55" s="2"/>
    </row>
  </sheetData>
  <mergeCells count="1">
    <mergeCell ref="B3:C3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workbookViewId="0">
      <selection activeCell="C7" sqref="C7"/>
    </sheetView>
  </sheetViews>
  <sheetFormatPr defaultRowHeight="15" customHeight="1" x14ac:dyDescent="0.25"/>
  <cols>
    <col min="1" max="1" width="5.85546875" style="1" customWidth="1"/>
    <col min="2" max="2" width="28" style="1" customWidth="1"/>
    <col min="3" max="3" width="15.42578125" style="1" customWidth="1"/>
    <col min="4" max="4" width="22.7109375" style="1" customWidth="1"/>
    <col min="5" max="5" width="5.85546875" style="2" customWidth="1"/>
    <col min="6" max="8" width="9.140625" style="2"/>
    <col min="9" max="16384" width="9.140625" style="1"/>
  </cols>
  <sheetData>
    <row r="1" spans="1:8" ht="20.25" customHeight="1" x14ac:dyDescent="0.25">
      <c r="A1" s="2"/>
      <c r="B1" s="2"/>
      <c r="C1" s="2"/>
      <c r="D1" s="2"/>
    </row>
    <row r="2" spans="1:8" ht="18.75" customHeight="1" x14ac:dyDescent="0.25">
      <c r="B2" s="3" t="s">
        <v>58</v>
      </c>
      <c r="C2" s="47"/>
      <c r="D2" s="47"/>
    </row>
    <row r="3" spans="1:8" ht="18" customHeight="1" x14ac:dyDescent="0.25">
      <c r="B3" s="329" t="s">
        <v>59</v>
      </c>
      <c r="C3" s="330"/>
      <c r="D3" s="47"/>
    </row>
    <row r="4" spans="1:8" ht="15" customHeight="1" x14ac:dyDescent="0.25">
      <c r="B4" s="6" t="s">
        <v>60</v>
      </c>
      <c r="C4" s="47"/>
      <c r="D4" s="47"/>
    </row>
    <row r="5" spans="1:8" ht="15" customHeight="1" x14ac:dyDescent="0.25">
      <c r="B5" s="50" t="s">
        <v>61</v>
      </c>
      <c r="C5" s="47"/>
      <c r="D5" s="47"/>
    </row>
    <row r="6" spans="1:8" ht="15" customHeight="1" x14ac:dyDescent="0.25">
      <c r="A6" s="2"/>
      <c r="B6" s="12" t="s">
        <v>51</v>
      </c>
      <c r="C6" s="51" t="s">
        <v>52</v>
      </c>
      <c r="D6" s="12" t="s">
        <v>20</v>
      </c>
      <c r="E6" s="5"/>
      <c r="H6" s="1"/>
    </row>
    <row r="7" spans="1:8" ht="15" customHeight="1" x14ac:dyDescent="0.25">
      <c r="A7" s="52"/>
      <c r="B7" s="53">
        <v>2.0949074074074075E-2</v>
      </c>
      <c r="C7" s="54">
        <f>SECOND(B7)</f>
        <v>10</v>
      </c>
      <c r="D7" s="38" t="str">
        <f ca="1">_xlfn.FORMULATEXT(C7)</f>
        <v>=SECOND(B7)</v>
      </c>
      <c r="H7" s="1"/>
    </row>
    <row r="8" spans="1:8" x14ac:dyDescent="0.25">
      <c r="A8" s="52"/>
      <c r="B8" s="53">
        <v>0.57326388888888891</v>
      </c>
      <c r="C8" s="54">
        <f t="shared" ref="C8:C10" si="0">SECOND(B8)</f>
        <v>30</v>
      </c>
      <c r="D8" s="38" t="str">
        <f t="shared" ref="D8:D12" ca="1" si="1">_xlfn.FORMULATEXT(C8)</f>
        <v>=SECOND(B8)</v>
      </c>
      <c r="H8" s="1"/>
    </row>
    <row r="9" spans="1:8" x14ac:dyDescent="0.25">
      <c r="A9" s="2"/>
      <c r="B9" s="53">
        <v>0.87204861111111109</v>
      </c>
      <c r="C9" s="54">
        <f t="shared" si="0"/>
        <v>45</v>
      </c>
      <c r="D9" s="38" t="str">
        <f t="shared" ca="1" si="1"/>
        <v>=SECOND(B9)</v>
      </c>
      <c r="H9" s="1"/>
    </row>
    <row r="10" spans="1:8" x14ac:dyDescent="0.25">
      <c r="A10" s="2"/>
      <c r="B10" s="53">
        <v>0.94797453703703705</v>
      </c>
      <c r="C10" s="54">
        <f t="shared" si="0"/>
        <v>5</v>
      </c>
      <c r="D10" s="38" t="str">
        <f t="shared" ca="1" si="1"/>
        <v>=SECOND(B10)</v>
      </c>
      <c r="H10" s="1"/>
    </row>
    <row r="11" spans="1:8" x14ac:dyDescent="0.25">
      <c r="A11" s="2"/>
      <c r="B11" s="53"/>
      <c r="C11" s="56">
        <f>SECOND("12:15:30")</f>
        <v>30</v>
      </c>
      <c r="D11" s="38" t="str">
        <f t="shared" ca="1" si="1"/>
        <v>=SECOND("12:15:30")</v>
      </c>
      <c r="H11" s="1"/>
    </row>
    <row r="12" spans="1:8" x14ac:dyDescent="0.25">
      <c r="A12" s="2"/>
      <c r="B12" s="57" t="s">
        <v>53</v>
      </c>
      <c r="C12" s="58">
        <f ca="1">SECOND(NOW())</f>
        <v>19</v>
      </c>
      <c r="D12" s="38" t="str">
        <f t="shared" ca="1" si="1"/>
        <v>=SECOND(NOW())</v>
      </c>
      <c r="H12" s="1"/>
    </row>
    <row r="13" spans="1:8" ht="19.5" customHeight="1" x14ac:dyDescent="0.25">
      <c r="A13" s="2"/>
      <c r="B13" s="2"/>
      <c r="C13" s="2"/>
      <c r="D13" s="2"/>
    </row>
    <row r="14" spans="1:8" ht="15" customHeight="1" x14ac:dyDescent="0.25">
      <c r="A14" s="2"/>
      <c r="B14" s="2"/>
      <c r="C14" s="2"/>
      <c r="D14" s="2"/>
    </row>
    <row r="15" spans="1:8" ht="15" customHeight="1" x14ac:dyDescent="0.25">
      <c r="A15" s="2"/>
      <c r="B15" s="2"/>
      <c r="C15" s="2"/>
      <c r="D15" s="2"/>
    </row>
    <row r="16" spans="1:8" ht="15" customHeight="1" x14ac:dyDescent="0.25">
      <c r="A16" s="2"/>
      <c r="B16" s="2"/>
      <c r="C16" s="2"/>
      <c r="D16" s="2"/>
    </row>
    <row r="17" spans="1:4" ht="15" customHeight="1" x14ac:dyDescent="0.25">
      <c r="A17" s="2"/>
      <c r="B17" s="2"/>
      <c r="C17" s="2"/>
      <c r="D17" s="2"/>
    </row>
    <row r="18" spans="1:4" ht="15" customHeight="1" x14ac:dyDescent="0.25">
      <c r="A18" s="2"/>
      <c r="B18" s="2"/>
      <c r="C18" s="2"/>
      <c r="D18" s="2"/>
    </row>
    <row r="19" spans="1:4" ht="15" customHeight="1" x14ac:dyDescent="0.25">
      <c r="A19" s="2"/>
      <c r="B19" s="2"/>
      <c r="C19" s="2"/>
      <c r="D19" s="2"/>
    </row>
    <row r="20" spans="1:4" ht="15" customHeight="1" x14ac:dyDescent="0.25">
      <c r="A20" s="2"/>
      <c r="B20" s="2"/>
      <c r="C20" s="2"/>
      <c r="D20" s="2"/>
    </row>
    <row r="21" spans="1:4" ht="15" customHeight="1" x14ac:dyDescent="0.25">
      <c r="A21" s="2"/>
      <c r="B21" s="2"/>
      <c r="C21" s="2"/>
      <c r="D21" s="2"/>
    </row>
    <row r="22" spans="1:4" ht="15" customHeight="1" x14ac:dyDescent="0.25">
      <c r="A22" s="2"/>
      <c r="B22" s="2"/>
      <c r="C22" s="2"/>
      <c r="D22" s="2"/>
    </row>
    <row r="23" spans="1:4" ht="15" customHeight="1" x14ac:dyDescent="0.25">
      <c r="A23" s="2"/>
      <c r="B23" s="2"/>
      <c r="C23" s="2"/>
      <c r="D23" s="2"/>
    </row>
    <row r="24" spans="1:4" ht="15" customHeight="1" x14ac:dyDescent="0.25">
      <c r="A24" s="2"/>
      <c r="B24" s="2"/>
      <c r="C24" s="2"/>
      <c r="D24" s="2"/>
    </row>
    <row r="25" spans="1:4" ht="15" customHeight="1" x14ac:dyDescent="0.25">
      <c r="A25" s="2"/>
      <c r="B25" s="2"/>
      <c r="C25" s="2"/>
      <c r="D25" s="2"/>
    </row>
    <row r="26" spans="1:4" ht="15" customHeight="1" x14ac:dyDescent="0.25">
      <c r="A26" s="2"/>
      <c r="B26" s="2"/>
      <c r="C26" s="2"/>
      <c r="D26" s="2"/>
    </row>
    <row r="27" spans="1:4" ht="15" customHeight="1" x14ac:dyDescent="0.25">
      <c r="A27" s="2"/>
      <c r="B27" s="2"/>
      <c r="C27" s="2"/>
      <c r="D27" s="2"/>
    </row>
    <row r="28" spans="1:4" ht="15" customHeight="1" x14ac:dyDescent="0.25">
      <c r="A28" s="2"/>
      <c r="B28" s="2"/>
      <c r="C28" s="2"/>
      <c r="D28" s="2"/>
    </row>
    <row r="29" spans="1:4" ht="15" customHeight="1" x14ac:dyDescent="0.25">
      <c r="A29" s="2"/>
      <c r="B29" s="2"/>
      <c r="C29" s="2"/>
      <c r="D29" s="2"/>
    </row>
    <row r="30" spans="1:4" ht="15" customHeight="1" x14ac:dyDescent="0.25">
      <c r="A30" s="2"/>
      <c r="B30" s="2"/>
      <c r="C30" s="2"/>
      <c r="D30" s="2"/>
    </row>
    <row r="31" spans="1:4" ht="15" customHeight="1" x14ac:dyDescent="0.25">
      <c r="A31" s="2"/>
      <c r="B31" s="2"/>
      <c r="C31" s="2"/>
      <c r="D31" s="2"/>
    </row>
    <row r="32" spans="1:4" ht="15" customHeight="1" x14ac:dyDescent="0.25">
      <c r="A32" s="2"/>
      <c r="B32" s="2"/>
      <c r="C32" s="2"/>
      <c r="D32" s="2"/>
    </row>
    <row r="33" spans="1:4" ht="15" customHeight="1" x14ac:dyDescent="0.25">
      <c r="A33" s="2"/>
      <c r="B33" s="2"/>
      <c r="C33" s="2"/>
      <c r="D33" s="2"/>
    </row>
    <row r="34" spans="1:4" ht="15" customHeight="1" x14ac:dyDescent="0.25">
      <c r="A34" s="2"/>
      <c r="B34" s="2"/>
      <c r="C34" s="2"/>
      <c r="D34" s="2"/>
    </row>
    <row r="35" spans="1:4" ht="15" customHeight="1" x14ac:dyDescent="0.25">
      <c r="A35" s="2"/>
      <c r="B35" s="2"/>
      <c r="C35" s="2"/>
      <c r="D35" s="2"/>
    </row>
    <row r="36" spans="1:4" ht="15" customHeight="1" x14ac:dyDescent="0.25">
      <c r="A36" s="2"/>
      <c r="B36" s="2"/>
      <c r="C36" s="2"/>
      <c r="D36" s="2"/>
    </row>
    <row r="37" spans="1:4" ht="15" customHeight="1" x14ac:dyDescent="0.25">
      <c r="A37" s="2"/>
      <c r="B37" s="2"/>
      <c r="C37" s="2"/>
      <c r="D37" s="2"/>
    </row>
    <row r="38" spans="1:4" ht="15" customHeight="1" x14ac:dyDescent="0.25">
      <c r="A38" s="2"/>
      <c r="B38" s="2"/>
      <c r="C38" s="2"/>
      <c r="D38" s="2"/>
    </row>
    <row r="39" spans="1:4" ht="15" customHeight="1" x14ac:dyDescent="0.25">
      <c r="A39" s="2"/>
      <c r="B39" s="2"/>
      <c r="C39" s="2"/>
      <c r="D39" s="2"/>
    </row>
    <row r="40" spans="1:4" ht="15" customHeight="1" x14ac:dyDescent="0.25">
      <c r="A40" s="2"/>
      <c r="B40" s="2"/>
      <c r="C40" s="2"/>
      <c r="D40" s="2"/>
    </row>
    <row r="41" spans="1:4" ht="15" customHeight="1" x14ac:dyDescent="0.25">
      <c r="A41" s="2"/>
      <c r="B41" s="2"/>
      <c r="C41" s="2"/>
      <c r="D41" s="2"/>
    </row>
    <row r="42" spans="1:4" ht="15" customHeight="1" x14ac:dyDescent="0.25">
      <c r="A42" s="2"/>
      <c r="B42" s="2"/>
      <c r="C42" s="2"/>
      <c r="D42" s="2"/>
    </row>
    <row r="43" spans="1:4" ht="15" customHeight="1" x14ac:dyDescent="0.25">
      <c r="A43" s="2"/>
      <c r="B43" s="2"/>
      <c r="C43" s="2"/>
      <c r="D43" s="2"/>
    </row>
    <row r="44" spans="1:4" ht="15" customHeight="1" x14ac:dyDescent="0.25">
      <c r="A44" s="2"/>
      <c r="B44" s="2"/>
      <c r="C44" s="2"/>
      <c r="D44" s="2"/>
    </row>
    <row r="45" spans="1:4" ht="15" customHeight="1" x14ac:dyDescent="0.25">
      <c r="A45" s="2"/>
      <c r="B45" s="2"/>
      <c r="C45" s="2"/>
      <c r="D45" s="2"/>
    </row>
    <row r="46" spans="1:4" ht="15" customHeight="1" x14ac:dyDescent="0.25">
      <c r="A46" s="2"/>
      <c r="B46" s="2"/>
      <c r="C46" s="2"/>
      <c r="D46" s="2"/>
    </row>
    <row r="47" spans="1:4" ht="15" customHeight="1" x14ac:dyDescent="0.25">
      <c r="A47" s="2"/>
      <c r="B47" s="2"/>
      <c r="C47" s="2"/>
      <c r="D47" s="2"/>
    </row>
    <row r="48" spans="1:4" ht="15" customHeight="1" x14ac:dyDescent="0.25">
      <c r="A48" s="2"/>
      <c r="B48" s="2"/>
      <c r="C48" s="2"/>
      <c r="D48" s="2"/>
    </row>
    <row r="49" spans="1:4" ht="15" customHeight="1" x14ac:dyDescent="0.25">
      <c r="A49" s="2"/>
      <c r="B49" s="2"/>
      <c r="C49" s="2"/>
      <c r="D49" s="2"/>
    </row>
    <row r="50" spans="1:4" ht="15" customHeight="1" x14ac:dyDescent="0.25">
      <c r="A50" s="2"/>
      <c r="B50" s="2"/>
      <c r="C50" s="2"/>
      <c r="D50" s="2"/>
    </row>
    <row r="51" spans="1:4" ht="15" customHeight="1" x14ac:dyDescent="0.25">
      <c r="A51" s="2"/>
      <c r="B51" s="2"/>
      <c r="C51" s="2"/>
      <c r="D51" s="2"/>
    </row>
    <row r="52" spans="1:4" ht="15" customHeight="1" x14ac:dyDescent="0.25">
      <c r="A52" s="2"/>
      <c r="B52" s="2"/>
      <c r="C52" s="2"/>
      <c r="D52" s="2"/>
    </row>
    <row r="53" spans="1:4" ht="15" customHeight="1" x14ac:dyDescent="0.25">
      <c r="A53" s="2"/>
      <c r="B53" s="2"/>
      <c r="C53" s="2"/>
      <c r="D53" s="2"/>
    </row>
    <row r="54" spans="1:4" ht="15" customHeight="1" x14ac:dyDescent="0.25">
      <c r="A54" s="2"/>
      <c r="B54" s="2"/>
      <c r="C54" s="2"/>
      <c r="D54" s="2"/>
    </row>
    <row r="55" spans="1:4" ht="15" customHeight="1" x14ac:dyDescent="0.25">
      <c r="A55" s="2"/>
      <c r="B55" s="2"/>
      <c r="C55" s="2"/>
      <c r="D55" s="2"/>
    </row>
  </sheetData>
  <mergeCells count="1">
    <mergeCell ref="B3:C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7"/>
  <sheetViews>
    <sheetView showGridLines="0" workbookViewId="0">
      <selection activeCell="C8" sqref="C8"/>
    </sheetView>
  </sheetViews>
  <sheetFormatPr defaultRowHeight="15" customHeight="1" x14ac:dyDescent="0.25"/>
  <cols>
    <col min="1" max="1" width="5.85546875" style="1" customWidth="1"/>
    <col min="2" max="2" width="17.28515625" style="1" customWidth="1"/>
    <col min="3" max="3" width="10.85546875" style="1" customWidth="1"/>
    <col min="4" max="4" width="16.5703125" style="1" customWidth="1"/>
    <col min="5" max="5" width="4.42578125" style="1" customWidth="1"/>
    <col min="6" max="6" width="17.140625" style="1" customWidth="1"/>
    <col min="7" max="7" width="16" style="2" customWidth="1"/>
    <col min="8" max="8" width="16.85546875" style="2" customWidth="1"/>
    <col min="9" max="9" width="5.85546875" style="2" customWidth="1"/>
    <col min="10" max="10" width="18.5703125" style="2" customWidth="1"/>
    <col min="11" max="11" width="6.7109375" style="2" customWidth="1"/>
    <col min="12" max="16" width="9.140625" style="2"/>
    <col min="17" max="16384" width="9.140625" style="1"/>
  </cols>
  <sheetData>
    <row r="1" spans="1:8" ht="19.5" customHeight="1" x14ac:dyDescent="0.25">
      <c r="A1" s="2"/>
      <c r="B1" s="2"/>
      <c r="C1" s="2"/>
      <c r="D1" s="2"/>
      <c r="E1" s="2"/>
      <c r="F1" s="2"/>
    </row>
    <row r="2" spans="1:8" ht="17.25" customHeight="1" x14ac:dyDescent="0.25">
      <c r="B2" s="3" t="s">
        <v>62</v>
      </c>
      <c r="C2" s="2"/>
      <c r="D2" s="2"/>
      <c r="E2" s="2"/>
      <c r="F2" s="2"/>
    </row>
    <row r="3" spans="1:8" ht="18" customHeight="1" x14ac:dyDescent="0.25">
      <c r="B3" s="331" t="s">
        <v>63</v>
      </c>
      <c r="C3" s="331"/>
      <c r="D3" s="60"/>
      <c r="E3" s="2"/>
      <c r="F3" s="2"/>
    </row>
    <row r="4" spans="1:8" ht="15" customHeight="1" x14ac:dyDescent="0.25">
      <c r="B4" s="6" t="s">
        <v>64</v>
      </c>
      <c r="C4" s="2"/>
      <c r="D4" s="2"/>
      <c r="E4" s="2"/>
      <c r="F4" s="2"/>
    </row>
    <row r="5" spans="1:8" ht="16.5" customHeight="1" x14ac:dyDescent="0.25">
      <c r="B5" s="29" t="s">
        <v>65</v>
      </c>
      <c r="C5" s="10">
        <v>1</v>
      </c>
      <c r="D5" s="2"/>
      <c r="E5" s="2"/>
      <c r="F5" s="61" t="s">
        <v>66</v>
      </c>
      <c r="G5" s="51" t="s">
        <v>67</v>
      </c>
      <c r="H5" s="12" t="s">
        <v>31</v>
      </c>
    </row>
    <row r="6" spans="1:8" ht="16.5" customHeight="1" x14ac:dyDescent="0.25">
      <c r="B6" s="62" t="s">
        <v>68</v>
      </c>
      <c r="C6" s="10">
        <v>11</v>
      </c>
      <c r="D6" s="2"/>
      <c r="E6" s="2"/>
      <c r="F6" s="63">
        <f>TIME(6,15,30)</f>
        <v>0.26076388888888891</v>
      </c>
      <c r="G6" s="64">
        <f>F6</f>
        <v>0.26076388888888891</v>
      </c>
      <c r="H6" s="65" t="str">
        <f ca="1">_xlfn.FORMULATEXT(F6)</f>
        <v>=TIME(6;15;30)</v>
      </c>
    </row>
    <row r="7" spans="1:8" ht="16.5" customHeight="1" x14ac:dyDescent="0.25">
      <c r="B7" s="44" t="s">
        <v>69</v>
      </c>
      <c r="C7" s="45">
        <v>4</v>
      </c>
      <c r="D7" s="2"/>
      <c r="E7" s="2"/>
      <c r="F7" s="66">
        <f>TIME(12,0,0)</f>
        <v>0.5</v>
      </c>
      <c r="G7" s="64">
        <f>F7</f>
        <v>0.5</v>
      </c>
      <c r="H7" s="65" t="str">
        <f t="shared" ref="H7:H8" ca="1" si="0">_xlfn.FORMULATEXT(F7)</f>
        <v>=TIME(12;0;0)</v>
      </c>
    </row>
    <row r="8" spans="1:8" ht="15" customHeight="1" x14ac:dyDescent="0.25">
      <c r="B8" s="21" t="s">
        <v>19</v>
      </c>
      <c r="C8" s="67">
        <f>TIME(C5,C6,C7)</f>
        <v>4.9351851851851848E-2</v>
      </c>
      <c r="D8" s="68" t="str">
        <f ca="1">_xlfn.FORMULATEXT(C8)</f>
        <v>=TIME(C5;C6;C7)</v>
      </c>
      <c r="E8" s="69"/>
      <c r="F8" s="63">
        <f>TIME(18,0,0)</f>
        <v>0.75</v>
      </c>
      <c r="G8" s="70">
        <f>F8</f>
        <v>0.75</v>
      </c>
      <c r="H8" s="65" t="str">
        <f t="shared" ca="1" si="0"/>
        <v>=TIME(18;0;0)</v>
      </c>
    </row>
    <row r="9" spans="1:8" ht="16.5" customHeight="1" x14ac:dyDescent="0.25">
      <c r="C9" s="2"/>
      <c r="D9" s="2"/>
      <c r="E9" s="2"/>
      <c r="F9" s="71" t="s">
        <v>70</v>
      </c>
    </row>
    <row r="10" spans="1:8" ht="19.5" customHeight="1" x14ac:dyDescent="0.25">
      <c r="A10" s="2"/>
      <c r="B10" s="2"/>
      <c r="C10" s="2"/>
      <c r="D10" s="2"/>
      <c r="E10" s="2"/>
      <c r="F10" s="2"/>
    </row>
    <row r="11" spans="1:8" ht="15" customHeight="1" x14ac:dyDescent="0.25">
      <c r="A11" s="2"/>
      <c r="B11" s="2"/>
      <c r="C11" s="2"/>
      <c r="D11" s="2"/>
      <c r="E11" s="2"/>
      <c r="F11" s="2"/>
    </row>
    <row r="12" spans="1:8" ht="15" customHeight="1" x14ac:dyDescent="0.25">
      <c r="A12" s="2"/>
      <c r="B12" s="2"/>
      <c r="C12" s="2"/>
      <c r="D12" s="2"/>
      <c r="E12" s="2"/>
      <c r="F12" s="2"/>
    </row>
    <row r="13" spans="1:8" ht="15" customHeight="1" x14ac:dyDescent="0.25">
      <c r="A13" s="2"/>
      <c r="B13" s="2"/>
      <c r="C13" s="2"/>
      <c r="D13" s="2"/>
      <c r="E13" s="2"/>
      <c r="F13" s="2"/>
    </row>
    <row r="14" spans="1:8" ht="15" customHeight="1" x14ac:dyDescent="0.25">
      <c r="A14" s="2"/>
      <c r="B14" s="2"/>
      <c r="C14" s="2"/>
      <c r="D14" s="2"/>
      <c r="E14" s="2"/>
      <c r="F14" s="2"/>
    </row>
    <row r="15" spans="1:8" ht="15" customHeight="1" x14ac:dyDescent="0.25">
      <c r="C15" s="2"/>
      <c r="D15" s="2"/>
      <c r="E15" s="2"/>
      <c r="F15" s="2"/>
    </row>
    <row r="16" spans="1:8" ht="15" customHeight="1" x14ac:dyDescent="0.25">
      <c r="E16" s="2"/>
      <c r="F16" s="2"/>
    </row>
    <row r="17" spans="5:5" ht="15" customHeight="1" x14ac:dyDescent="0.25">
      <c r="E17" s="2"/>
    </row>
  </sheetData>
  <mergeCells count="1">
    <mergeCell ref="B3:C3"/>
  </mergeCell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1</xdr:col>
                    <xdr:colOff>552450</xdr:colOff>
                    <xdr:row>4</xdr:row>
                    <xdr:rowOff>38100</xdr:rowOff>
                  </from>
                  <to>
                    <xdr:col>1</xdr:col>
                    <xdr:colOff>1038225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Scroll Bar 2">
              <controlPr defaultSize="0" autoPict="0">
                <anchor moveWithCells="1">
                  <from>
                    <xdr:col>1</xdr:col>
                    <xdr:colOff>552450</xdr:colOff>
                    <xdr:row>5</xdr:row>
                    <xdr:rowOff>28575</xdr:rowOff>
                  </from>
                  <to>
                    <xdr:col>1</xdr:col>
                    <xdr:colOff>1038225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1</xdr:col>
                    <xdr:colOff>552450</xdr:colOff>
                    <xdr:row>6</xdr:row>
                    <xdr:rowOff>19050</xdr:rowOff>
                  </from>
                  <to>
                    <xdr:col>1</xdr:col>
                    <xdr:colOff>1038225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showGridLines="0" workbookViewId="0">
      <selection activeCell="C5" sqref="C5"/>
    </sheetView>
  </sheetViews>
  <sheetFormatPr defaultRowHeight="15" x14ac:dyDescent="0.25"/>
  <cols>
    <col min="1" max="1" width="5.85546875" style="140" customWidth="1"/>
    <col min="2" max="2" width="13.7109375" style="140" customWidth="1"/>
    <col min="3" max="3" width="11.140625" style="140" customWidth="1"/>
    <col min="4" max="5" width="9.140625" style="140"/>
    <col min="6" max="6" width="15.42578125" style="140" customWidth="1"/>
    <col min="7" max="7" width="5.85546875" style="140" customWidth="1"/>
    <col min="8" max="16384" width="9.140625" style="140"/>
  </cols>
  <sheetData>
    <row r="1" spans="1:10" ht="19.5" customHeight="1" x14ac:dyDescent="0.25"/>
    <row r="2" spans="1:10" ht="18.75" x14ac:dyDescent="0.25">
      <c r="B2" s="142" t="s">
        <v>237</v>
      </c>
    </row>
    <row r="3" spans="1:10" ht="18" customHeight="1" x14ac:dyDescent="0.25">
      <c r="B3" s="334" t="str">
        <f>"="&amp;C5&amp;"(teks atau referensi sel)"</f>
        <v>=PROPER(teks atau referensi sel)</v>
      </c>
      <c r="C3" s="334"/>
      <c r="D3" s="334"/>
    </row>
    <row r="4" spans="1:10" ht="7.5" customHeight="1" x14ac:dyDescent="0.25">
      <c r="B4" s="142"/>
    </row>
    <row r="5" spans="1:10" ht="17.25" customHeight="1" x14ac:dyDescent="0.25">
      <c r="A5" s="152">
        <v>3</v>
      </c>
      <c r="B5" s="159" t="s">
        <v>235</v>
      </c>
      <c r="C5" s="160" t="str">
        <f>IF(A5=1,"UPPER",IF(A5=2,"LOWER","PROPER"))</f>
        <v>PROPER</v>
      </c>
      <c r="I5" s="140">
        <v>1</v>
      </c>
      <c r="J5" s="140" t="s">
        <v>238</v>
      </c>
    </row>
    <row r="6" spans="1:10" x14ac:dyDescent="0.25">
      <c r="B6" s="332" t="str">
        <f>VLOOKUP(A5,I5:J7,2)</f>
        <v>mengawali teks dengan huruf besar</v>
      </c>
      <c r="C6" s="332"/>
      <c r="D6" s="332"/>
      <c r="E6" s="332"/>
      <c r="I6" s="140">
        <v>2</v>
      </c>
      <c r="J6" s="140" t="s">
        <v>239</v>
      </c>
    </row>
    <row r="7" spans="1:10" x14ac:dyDescent="0.25">
      <c r="B7" s="333"/>
      <c r="C7" s="333"/>
      <c r="D7" s="333"/>
      <c r="E7" s="333"/>
      <c r="I7" s="140">
        <v>3</v>
      </c>
      <c r="J7" s="140" t="s">
        <v>240</v>
      </c>
    </row>
    <row r="8" spans="1:10" ht="7.5" customHeight="1" x14ac:dyDescent="0.25"/>
    <row r="9" spans="1:10" ht="15.75" x14ac:dyDescent="0.25">
      <c r="B9" s="226" t="s">
        <v>242</v>
      </c>
      <c r="C9" s="227" t="s">
        <v>241</v>
      </c>
      <c r="D9" s="161"/>
    </row>
    <row r="10" spans="1:10" x14ac:dyDescent="0.25">
      <c r="B10" s="335" t="s">
        <v>19</v>
      </c>
      <c r="C10" s="160" t="str">
        <f>UPPER(C9)</f>
        <v>JAKARTA</v>
      </c>
      <c r="D10" s="228" t="str">
        <f ca="1">_xlfn.FORMULATEXT(C10)&amp;" atau =UPPER("&amp;C$9&amp;")"</f>
        <v>=UPPER(C9) atau =UPPER(jaKARta)</v>
      </c>
    </row>
    <row r="11" spans="1:10" x14ac:dyDescent="0.25">
      <c r="B11" s="336"/>
      <c r="C11" s="160" t="str">
        <f>LOWER(C9)</f>
        <v>jakarta</v>
      </c>
      <c r="D11" s="228" t="str">
        <f ca="1">_xlfn.FORMULATEXT(C11)&amp;" atau =LOWER("&amp;C$9&amp;")"</f>
        <v>=LOWER(C9) atau =LOWER(jaKARta)</v>
      </c>
    </row>
    <row r="12" spans="1:10" x14ac:dyDescent="0.25">
      <c r="B12" s="336"/>
      <c r="C12" s="160" t="str">
        <f>PROPER(C9)</f>
        <v>Jakarta</v>
      </c>
      <c r="D12" s="228" t="str">
        <f ca="1">_xlfn.FORMULATEXT(C12)&amp;" atau =PROPER("&amp;C$9&amp;")"</f>
        <v>=PROPER(C9) atau =PROPER(jaKARta)</v>
      </c>
    </row>
    <row r="13" spans="1:10" ht="19.5" customHeight="1" x14ac:dyDescent="0.25"/>
  </sheetData>
  <mergeCells count="3">
    <mergeCell ref="B6:E7"/>
    <mergeCell ref="B3:D3"/>
    <mergeCell ref="B10:B1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Scroll Bar 1">
              <controlPr defaultSize="0" autoPict="0">
                <anchor moveWithCells="1">
                  <from>
                    <xdr:col>1</xdr:col>
                    <xdr:colOff>352425</xdr:colOff>
                    <xdr:row>4</xdr:row>
                    <xdr:rowOff>28575</xdr:rowOff>
                  </from>
                  <to>
                    <xdr:col>1</xdr:col>
                    <xdr:colOff>838200</xdr:colOff>
                    <xdr:row>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C13" sqref="C13"/>
    </sheetView>
  </sheetViews>
  <sheetFormatPr defaultRowHeight="15" customHeight="1" x14ac:dyDescent="0.25"/>
  <cols>
    <col min="1" max="1" width="5.85546875" style="72" customWidth="1"/>
    <col min="2" max="2" width="11.28515625" style="72" customWidth="1"/>
    <col min="3" max="3" width="21" style="72" customWidth="1"/>
    <col min="4" max="4" width="11.140625" style="72" customWidth="1"/>
    <col min="5" max="5" width="30.7109375" style="72" customWidth="1"/>
    <col min="6" max="6" width="31.85546875" style="72" customWidth="1"/>
    <col min="7" max="7" width="5.85546875" style="72" customWidth="1"/>
    <col min="8" max="16384" width="9.140625" style="72"/>
  </cols>
  <sheetData>
    <row r="1" spans="2:6" ht="19.5" customHeight="1" x14ac:dyDescent="0.25"/>
    <row r="2" spans="2:6" ht="16.5" customHeight="1" x14ac:dyDescent="0.25">
      <c r="B2" s="77" t="s">
        <v>74</v>
      </c>
    </row>
    <row r="3" spans="2:6" ht="18.75" customHeight="1" x14ac:dyDescent="0.25">
      <c r="B3" s="317" t="s">
        <v>75</v>
      </c>
      <c r="C3" s="317"/>
      <c r="D3" s="26"/>
    </row>
    <row r="4" spans="2:6" ht="15" customHeight="1" x14ac:dyDescent="0.25">
      <c r="B4" s="6" t="s">
        <v>76</v>
      </c>
    </row>
    <row r="5" spans="2:6" ht="15" customHeight="1" x14ac:dyDescent="0.25">
      <c r="B5" s="6" t="s">
        <v>77</v>
      </c>
    </row>
    <row r="6" spans="2:6" ht="15.75" customHeight="1" x14ac:dyDescent="0.25">
      <c r="B6" s="83" t="s">
        <v>73</v>
      </c>
      <c r="C6" s="84" t="s">
        <v>19</v>
      </c>
      <c r="D6" s="337" t="s">
        <v>20</v>
      </c>
      <c r="E6" s="338"/>
    </row>
    <row r="7" spans="2:6" ht="15.75" customHeight="1" x14ac:dyDescent="0.25">
      <c r="B7" s="85">
        <v>1000000</v>
      </c>
      <c r="C7" s="80" t="str">
        <f>TEXT(B7," Rp #.###,00")</f>
        <v xml:space="preserve"> Rp 1.000.000,00</v>
      </c>
      <c r="D7" s="81" t="str">
        <f ca="1">_xlfn.FORMULATEXT(C7)</f>
        <v>=TEXT(B7;" Rp #.###,00")</v>
      </c>
      <c r="E7" s="86"/>
    </row>
    <row r="8" spans="2:6" ht="15.75" customHeight="1" x14ac:dyDescent="0.25">
      <c r="B8" s="87"/>
      <c r="C8" s="80" t="str">
        <f ca="1">TEXT(TODAY(),"dd mmmm yyy")</f>
        <v>29 Mei 2019</v>
      </c>
      <c r="D8" s="81" t="str">
        <f ca="1">_xlfn.FORMULATEXT(C8)</f>
        <v>=TEXT(TODAY();"dd mmmm yyy")</v>
      </c>
      <c r="E8" s="86"/>
    </row>
    <row r="9" spans="2:6" ht="15.75" customHeight="1" x14ac:dyDescent="0.25">
      <c r="B9" s="87"/>
      <c r="C9" s="80" t="str">
        <f ca="1">"Bogor, "&amp;TEXT(TODAY(),"dd mmmm yyy")</f>
        <v>Bogor, 29 Mei 2019</v>
      </c>
      <c r="D9" s="82" t="str">
        <f ca="1">_xlfn.FORMULATEXT(C9)</f>
        <v>="Bogor, "&amp;TEXT(TODAY();"dd mmmm yyy")</v>
      </c>
      <c r="E9" s="86"/>
    </row>
    <row r="10" spans="2:6" ht="6.75" customHeight="1" x14ac:dyDescent="0.25">
      <c r="B10" s="88"/>
      <c r="C10" s="76"/>
      <c r="D10" s="76"/>
    </row>
    <row r="11" spans="2:6" ht="15.75" customHeight="1" x14ac:dyDescent="0.25">
      <c r="B11" s="78" t="s">
        <v>78</v>
      </c>
      <c r="C11" s="89" t="s">
        <v>79</v>
      </c>
      <c r="D11" s="337" t="s">
        <v>80</v>
      </c>
      <c r="E11" s="338"/>
      <c r="F11" s="338"/>
    </row>
    <row r="12" spans="2:6" ht="15.75" customHeight="1" x14ac:dyDescent="0.25">
      <c r="B12" s="79" t="s">
        <v>296</v>
      </c>
      <c r="C12" s="90">
        <v>112500000</v>
      </c>
      <c r="D12" s="81" t="str">
        <f>"Jumlah tabungan "&amp;B12&amp;" dan "&amp;B13&amp;" sejumlah Rp "&amp;TEXT(C12+C13,"#.###")</f>
        <v>Jumlah tabungan Dona dan Doni sejumlah Rp 287.500.000</v>
      </c>
      <c r="E12" s="86"/>
      <c r="F12" s="86"/>
    </row>
    <row r="13" spans="2:6" ht="15.75" customHeight="1" x14ac:dyDescent="0.25">
      <c r="B13" s="79" t="s">
        <v>297</v>
      </c>
      <c r="C13" s="90">
        <v>175000000</v>
      </c>
      <c r="D13" s="91" t="str">
        <f ca="1">_xlfn.FORMULATEXT(D12)</f>
        <v>="Jumlah tabungan "&amp;B12&amp;" dan "&amp;B13&amp;" sejumlah Rp "&amp;TEXT(C12+C13;"#.###")</v>
      </c>
      <c r="E13" s="92"/>
      <c r="F13" s="92"/>
    </row>
    <row r="14" spans="2:6" ht="19.5" customHeight="1" x14ac:dyDescent="0.25"/>
  </sheetData>
  <mergeCells count="3">
    <mergeCell ref="B3:C3"/>
    <mergeCell ref="D6:E6"/>
    <mergeCell ref="D11:F11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D10" sqref="D10"/>
    </sheetView>
  </sheetViews>
  <sheetFormatPr defaultRowHeight="15" x14ac:dyDescent="0.25"/>
  <cols>
    <col min="1" max="1" width="5.85546875" style="1" customWidth="1"/>
    <col min="2" max="2" width="15.7109375" style="1" customWidth="1"/>
    <col min="3" max="3" width="14.28515625" style="1" customWidth="1"/>
    <col min="4" max="4" width="11.28515625" style="1" customWidth="1"/>
    <col min="5" max="5" width="18.140625" style="1" customWidth="1"/>
    <col min="6" max="6" width="5.42578125" style="1" customWidth="1"/>
    <col min="7" max="7" width="9.140625" style="1"/>
    <col min="8" max="8" width="11.85546875" style="1" customWidth="1"/>
    <col min="9" max="9" width="5.85546875" style="1" customWidth="1"/>
    <col min="10" max="10" width="16.140625" style="1" customWidth="1"/>
    <col min="11" max="11" width="5.85546875" style="1" customWidth="1"/>
    <col min="12" max="16384" width="9.140625" style="1"/>
  </cols>
  <sheetData>
    <row r="1" spans="1:8" ht="19.5" customHeight="1" x14ac:dyDescent="0.25"/>
    <row r="2" spans="1:8" ht="18.75" x14ac:dyDescent="0.25">
      <c r="B2" s="3" t="s">
        <v>82</v>
      </c>
    </row>
    <row r="3" spans="1:8" ht="18" customHeight="1" x14ac:dyDescent="0.25">
      <c r="B3" s="339" t="s">
        <v>83</v>
      </c>
      <c r="C3" s="339"/>
    </row>
    <row r="4" spans="1:8" x14ac:dyDescent="0.25">
      <c r="B4" s="93" t="s">
        <v>84</v>
      </c>
    </row>
    <row r="5" spans="1:8" ht="15" customHeight="1" x14ac:dyDescent="0.25">
      <c r="B5" s="340" t="s">
        <v>85</v>
      </c>
      <c r="C5" s="341"/>
      <c r="D5" s="342" t="s">
        <v>86</v>
      </c>
      <c r="E5" s="343" t="s">
        <v>87</v>
      </c>
    </row>
    <row r="6" spans="1:8" ht="15" customHeight="1" x14ac:dyDescent="0.25">
      <c r="B6" s="94" t="s">
        <v>89</v>
      </c>
      <c r="C6" s="95" t="s">
        <v>90</v>
      </c>
      <c r="D6" s="342"/>
      <c r="E6" s="343"/>
    </row>
    <row r="7" spans="1:8" ht="15" customHeight="1" x14ac:dyDescent="0.25">
      <c r="A7" s="28"/>
      <c r="B7" s="34" t="s">
        <v>92</v>
      </c>
      <c r="C7" s="35" t="s">
        <v>93</v>
      </c>
      <c r="D7" s="342"/>
      <c r="E7" s="343"/>
    </row>
    <row r="8" spans="1:8" ht="16.5" customHeight="1" x14ac:dyDescent="0.25">
      <c r="B8" s="98">
        <v>25</v>
      </c>
      <c r="C8" s="99">
        <v>5</v>
      </c>
      <c r="D8" s="58">
        <f>MOD(B8,C8)</f>
        <v>0</v>
      </c>
      <c r="E8" s="38" t="str">
        <f ca="1">_xlfn.FORMULATEXT(D8)</f>
        <v>=MOD(B8;C8)</v>
      </c>
    </row>
    <row r="9" spans="1:8" ht="16.5" customHeight="1" x14ac:dyDescent="0.25">
      <c r="B9" s="98">
        <v>38</v>
      </c>
      <c r="C9" s="99">
        <v>5</v>
      </c>
      <c r="D9" s="58">
        <f>MOD(B9,C9)</f>
        <v>3</v>
      </c>
      <c r="E9" s="38" t="s">
        <v>96</v>
      </c>
    </row>
    <row r="10" spans="1:8" ht="16.5" customHeight="1" x14ac:dyDescent="0.25">
      <c r="B10" s="98">
        <v>172</v>
      </c>
      <c r="C10" s="99">
        <v>8</v>
      </c>
      <c r="D10" s="58">
        <f>MOD(B10,C10)</f>
        <v>4</v>
      </c>
      <c r="E10" s="38" t="s">
        <v>97</v>
      </c>
    </row>
    <row r="11" spans="1:8" ht="20.25" customHeight="1" x14ac:dyDescent="0.25">
      <c r="B11" s="229" t="s">
        <v>88</v>
      </c>
      <c r="G11" s="6"/>
    </row>
    <row r="12" spans="1:8" x14ac:dyDescent="0.25">
      <c r="B12" s="62" t="s">
        <v>91</v>
      </c>
      <c r="C12" s="96"/>
      <c r="D12" s="97">
        <v>125</v>
      </c>
      <c r="G12" s="112">
        <f>MOD(12,3)</f>
        <v>0</v>
      </c>
      <c r="H12" s="202" t="str">
        <f ca="1">_xlfn.FORMULATEXT(G12)</f>
        <v>=MOD(12;3)</v>
      </c>
    </row>
    <row r="13" spans="1:8" x14ac:dyDescent="0.25">
      <c r="B13" s="62" t="s">
        <v>94</v>
      </c>
      <c r="C13" s="96"/>
      <c r="D13" s="97">
        <v>6</v>
      </c>
      <c r="G13" s="112">
        <f>MOD(23,3)</f>
        <v>2</v>
      </c>
      <c r="H13" s="202" t="str">
        <f ca="1">_xlfn.FORMULATEXT(G13)</f>
        <v>=MOD(23;3)</v>
      </c>
    </row>
    <row r="14" spans="1:8" x14ac:dyDescent="0.25">
      <c r="B14" s="100" t="s">
        <v>95</v>
      </c>
      <c r="C14" s="101"/>
      <c r="D14" s="102">
        <f>MOD(D12,D13)</f>
        <v>5</v>
      </c>
      <c r="E14" s="103" t="str">
        <f ca="1">_xlfn.FORMULATEXT(D14)</f>
        <v>=MOD(D12;D13)</v>
      </c>
    </row>
    <row r="15" spans="1:8" x14ac:dyDescent="0.25">
      <c r="B15" s="344" t="str">
        <f>"Sisa angka "&amp;D12&amp;" dibagi "&amp;D13&amp;" adalah "&amp;D14&amp;", yaitu "&amp;D12&amp;" - ("&amp;D13&amp;" x "&amp;_xlfn.FLOOR.MATH(D12/D13)&amp;") atau "&amp;D12&amp;" - "&amp;D13*_xlfn.FLOOR.MATH(D12/D13)</f>
        <v>Sisa angka 125 dibagi 6 adalah 5, yaitu 125 - (6 x 20) atau 125 - 120</v>
      </c>
      <c r="C15" s="344"/>
      <c r="D15" s="344"/>
      <c r="E15" s="344"/>
    </row>
    <row r="16" spans="1:8" x14ac:dyDescent="0.25">
      <c r="B16" s="344"/>
      <c r="C16" s="344"/>
      <c r="D16" s="344"/>
      <c r="E16" s="344"/>
    </row>
    <row r="17" ht="19.5" customHeight="1" x14ac:dyDescent="0.25"/>
  </sheetData>
  <mergeCells count="5">
    <mergeCell ref="B3:C3"/>
    <mergeCell ref="B5:C5"/>
    <mergeCell ref="D5:D7"/>
    <mergeCell ref="E5:E7"/>
    <mergeCell ref="B15:E16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3" name="Scroll Bar 1">
              <controlPr defaultSize="0" autoPict="0">
                <anchor moveWithCells="1">
                  <from>
                    <xdr:col>1</xdr:col>
                    <xdr:colOff>85725</xdr:colOff>
                    <xdr:row>7</xdr:row>
                    <xdr:rowOff>28575</xdr:rowOff>
                  </from>
                  <to>
                    <xdr:col>1</xdr:col>
                    <xdr:colOff>571500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4" name="Scroll Bar 2">
              <controlPr defaultSize="0" autoPict="0">
                <anchor moveWithCells="1">
                  <from>
                    <xdr:col>1</xdr:col>
                    <xdr:colOff>85725</xdr:colOff>
                    <xdr:row>8</xdr:row>
                    <xdr:rowOff>19050</xdr:rowOff>
                  </from>
                  <to>
                    <xdr:col>1</xdr:col>
                    <xdr:colOff>571500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5" name="Scroll Bar 3">
              <controlPr defaultSize="0" autoPict="0">
                <anchor moveWithCells="1">
                  <from>
                    <xdr:col>1</xdr:col>
                    <xdr:colOff>85725</xdr:colOff>
                    <xdr:row>9</xdr:row>
                    <xdr:rowOff>19050</xdr:rowOff>
                  </from>
                  <to>
                    <xdr:col>1</xdr:col>
                    <xdr:colOff>571500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6" name="Scroll Bar 4">
              <controlPr defaultSize="0" autoPict="0">
                <anchor moveWithCells="1">
                  <from>
                    <xdr:col>2</xdr:col>
                    <xdr:colOff>85725</xdr:colOff>
                    <xdr:row>7</xdr:row>
                    <xdr:rowOff>38100</xdr:rowOff>
                  </from>
                  <to>
                    <xdr:col>2</xdr:col>
                    <xdr:colOff>571500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7" name="Scroll Bar 5">
              <controlPr defaultSize="0" autoPict="0">
                <anchor moveWithCells="1">
                  <from>
                    <xdr:col>2</xdr:col>
                    <xdr:colOff>85725</xdr:colOff>
                    <xdr:row>8</xdr:row>
                    <xdr:rowOff>38100</xdr:rowOff>
                  </from>
                  <to>
                    <xdr:col>2</xdr:col>
                    <xdr:colOff>571500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8" name="Scroll Bar 6">
              <controlPr defaultSize="0" autoPict="0">
                <anchor moveWithCells="1">
                  <from>
                    <xdr:col>2</xdr:col>
                    <xdr:colOff>85725</xdr:colOff>
                    <xdr:row>9</xdr:row>
                    <xdr:rowOff>38100</xdr:rowOff>
                  </from>
                  <to>
                    <xdr:col>2</xdr:col>
                    <xdr:colOff>571500</xdr:colOff>
                    <xdr:row>9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5"/>
  <sheetViews>
    <sheetView showGridLines="0" topLeftCell="A2" zoomScaleNormal="100" workbookViewId="0">
      <selection activeCell="H12" sqref="H12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4.85546875" style="1" customWidth="1"/>
    <col min="4" max="4" width="5.42578125" style="1" customWidth="1"/>
    <col min="5" max="5" width="17.140625" style="1" customWidth="1"/>
    <col min="6" max="6" width="11.28515625" style="1" customWidth="1"/>
    <col min="7" max="7" width="5.140625" style="1" customWidth="1"/>
    <col min="8" max="8" width="15.5703125" style="1" customWidth="1"/>
    <col min="9" max="9" width="7.28515625" style="1" customWidth="1"/>
    <col min="10" max="10" width="12.140625" style="1" customWidth="1"/>
    <col min="11" max="11" width="11.85546875" style="1" customWidth="1"/>
    <col min="12" max="12" width="39.7109375" style="1" customWidth="1"/>
    <col min="13" max="13" width="5.85546875" style="1" customWidth="1"/>
    <col min="14" max="16384" width="9.140625" style="1"/>
  </cols>
  <sheetData>
    <row r="1" spans="2:12" ht="19.5" customHeight="1" x14ac:dyDescent="0.25"/>
    <row r="2" spans="2:12" ht="18.75" x14ac:dyDescent="0.25">
      <c r="B2" s="345" t="s">
        <v>104</v>
      </c>
      <c r="C2" s="345"/>
    </row>
    <row r="3" spans="2:12" ht="19.5" customHeight="1" x14ac:dyDescent="0.25">
      <c r="B3" s="317" t="s">
        <v>105</v>
      </c>
      <c r="C3" s="317"/>
      <c r="D3" s="317"/>
      <c r="E3" s="317"/>
      <c r="F3" s="42"/>
      <c r="G3" s="42"/>
      <c r="H3" s="42"/>
    </row>
    <row r="4" spans="2:12" x14ac:dyDescent="0.25">
      <c r="B4" s="6" t="s">
        <v>106</v>
      </c>
    </row>
    <row r="5" spans="2:12" ht="16.5" customHeight="1" x14ac:dyDescent="0.25">
      <c r="B5" s="12" t="s">
        <v>0</v>
      </c>
      <c r="C5" s="13" t="s">
        <v>107</v>
      </c>
      <c r="E5" s="111" t="s">
        <v>108</v>
      </c>
      <c r="F5" s="111"/>
    </row>
    <row r="6" spans="2:12" ht="16.5" customHeight="1" x14ac:dyDescent="0.25">
      <c r="B6" s="112">
        <v>1</v>
      </c>
      <c r="C6" s="113" t="s">
        <v>109</v>
      </c>
      <c r="E6" s="1" t="s">
        <v>110</v>
      </c>
      <c r="J6" s="34" t="s">
        <v>21</v>
      </c>
      <c r="K6" s="46" t="s">
        <v>111</v>
      </c>
    </row>
    <row r="7" spans="2:12" ht="16.5" customHeight="1" x14ac:dyDescent="0.25">
      <c r="B7" s="112">
        <v>2</v>
      </c>
      <c r="C7" s="113" t="s">
        <v>112</v>
      </c>
      <c r="E7" s="114" t="s">
        <v>113</v>
      </c>
      <c r="F7" s="114"/>
      <c r="H7" s="115"/>
      <c r="J7" s="116">
        <f ca="1">TODAY()</f>
        <v>43614</v>
      </c>
      <c r="K7" s="117" t="str">
        <f ca="1">CHOOSE(WEEKDAY(J7),"Minggu","Senin","Selasa","Rabu","Kamis","Jumat","Sabtu")</f>
        <v>Rabu</v>
      </c>
      <c r="L7" s="346" t="str">
        <f ca="1">_xlfn.FORMULATEXT(K7)</f>
        <v>=CHOOSE(WEEKDAY(J7);"Minggu";"Senin";"Selasa";"Rabu";"Kamis";"Jumat";"Sabtu")</v>
      </c>
    </row>
    <row r="8" spans="2:12" ht="16.5" customHeight="1" x14ac:dyDescent="0.25">
      <c r="B8" s="112">
        <v>3</v>
      </c>
      <c r="C8" s="113" t="s">
        <v>114</v>
      </c>
      <c r="E8" s="118" t="s">
        <v>115</v>
      </c>
      <c r="F8" s="118"/>
      <c r="J8" s="116">
        <v>43852</v>
      </c>
      <c r="K8" s="117" t="str">
        <f>CHOOSE(WEEKDAY(J8),"Minggu","Senin","Selasa","Rabu","Kamis","Jumat","Sabtu")</f>
        <v>Rabu</v>
      </c>
      <c r="L8" s="346"/>
    </row>
    <row r="9" spans="2:12" ht="16.5" customHeight="1" x14ac:dyDescent="0.25">
      <c r="B9" s="112">
        <v>4</v>
      </c>
      <c r="C9" s="113" t="s">
        <v>116</v>
      </c>
      <c r="E9" s="50" t="s">
        <v>117</v>
      </c>
      <c r="F9" s="50"/>
      <c r="J9" s="116">
        <v>45716</v>
      </c>
      <c r="K9" s="117" t="str">
        <f>CHOOSE(WEEKDAY(J9),"Minggu","Senin","Selasa","Rabu","Kamis","Jumat","Sabtu")</f>
        <v>Jumat</v>
      </c>
    </row>
    <row r="10" spans="2:12" ht="16.5" customHeight="1" x14ac:dyDescent="0.25">
      <c r="B10" s="112">
        <v>5</v>
      </c>
      <c r="C10" s="113" t="s">
        <v>118</v>
      </c>
    </row>
    <row r="11" spans="2:12" ht="16.5" customHeight="1" x14ac:dyDescent="0.25">
      <c r="B11" s="112">
        <v>6</v>
      </c>
      <c r="C11" s="113" t="s">
        <v>119</v>
      </c>
    </row>
    <row r="12" spans="2:12" ht="16.5" customHeight="1" x14ac:dyDescent="0.25">
      <c r="B12" s="112">
        <v>7</v>
      </c>
      <c r="C12" s="113" t="s">
        <v>120</v>
      </c>
      <c r="E12" s="119" t="s">
        <v>121</v>
      </c>
      <c r="F12" s="119"/>
      <c r="G12" s="120">
        <v>4</v>
      </c>
      <c r="H12" s="121" t="str">
        <f>CHOOSE(G12,C6,C7,C8,C9,C10,C11,C12,C13,C14,C15)</f>
        <v>Jakarta</v>
      </c>
    </row>
    <row r="13" spans="2:12" ht="16.5" customHeight="1" x14ac:dyDescent="0.25">
      <c r="B13" s="112">
        <v>8</v>
      </c>
      <c r="C13" s="113" t="s">
        <v>122</v>
      </c>
      <c r="E13" s="122" t="str">
        <f ca="1">_xlfn.FORMULATEXT(H12)</f>
        <v>=CHOOSE(G12;C6;C7;C8;C9;C10;C11;C12;C13;C14;C15)</v>
      </c>
      <c r="F13" s="122"/>
      <c r="H13" s="123"/>
    </row>
    <row r="14" spans="2:12" ht="16.5" customHeight="1" x14ac:dyDescent="0.25">
      <c r="B14" s="112">
        <v>9</v>
      </c>
      <c r="C14" s="113" t="s">
        <v>123</v>
      </c>
    </row>
    <row r="15" spans="2:12" ht="16.5" customHeight="1" x14ac:dyDescent="0.25">
      <c r="B15" s="112">
        <v>10</v>
      </c>
      <c r="C15" s="113" t="s">
        <v>124</v>
      </c>
      <c r="D15" s="6" t="s">
        <v>125</v>
      </c>
    </row>
    <row r="17" spans="3:3" x14ac:dyDescent="0.25">
      <c r="C17" s="1" t="s">
        <v>126</v>
      </c>
    </row>
    <row r="18" spans="3:3" ht="15" customHeight="1" x14ac:dyDescent="0.25"/>
    <row r="25" spans="3:3" ht="19.5" customHeight="1" x14ac:dyDescent="0.25"/>
  </sheetData>
  <mergeCells count="3">
    <mergeCell ref="B2:C2"/>
    <mergeCell ref="B3:E3"/>
    <mergeCell ref="L7:L8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5</xdr:col>
                    <xdr:colOff>180975</xdr:colOff>
                    <xdr:row>11</xdr:row>
                    <xdr:rowOff>28575</xdr:rowOff>
                  </from>
                  <to>
                    <xdr:col>5</xdr:col>
                    <xdr:colOff>666750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3"/>
  <sheetViews>
    <sheetView showGridLines="0" workbookViewId="0">
      <selection activeCell="C9" sqref="C9:C10"/>
    </sheetView>
  </sheetViews>
  <sheetFormatPr defaultRowHeight="15" x14ac:dyDescent="0.25"/>
  <cols>
    <col min="1" max="1" width="5.85546875" style="124" customWidth="1"/>
    <col min="2" max="2" width="21.140625" style="124" customWidth="1"/>
    <col min="3" max="3" width="9.140625" style="124"/>
    <col min="4" max="4" width="3.28515625" style="124" customWidth="1"/>
    <col min="5" max="5" width="9.140625" style="124"/>
    <col min="6" max="6" width="3.28515625" style="124" customWidth="1"/>
    <col min="7" max="7" width="9.42578125" style="124" customWidth="1"/>
    <col min="8" max="8" width="3.28515625" style="124" customWidth="1"/>
    <col min="9" max="9" width="10.28515625" style="124" bestFit="1" customWidth="1"/>
    <col min="10" max="10" width="25.140625" style="124" customWidth="1"/>
    <col min="11" max="11" width="5.85546875" style="124" customWidth="1"/>
    <col min="12" max="12" width="5.42578125" style="124" customWidth="1"/>
    <col min="13" max="13" width="26" style="124" customWidth="1"/>
    <col min="14" max="14" width="15.140625" style="124" customWidth="1"/>
    <col min="15" max="15" width="5.85546875" style="124" customWidth="1"/>
    <col min="16" max="16384" width="9.140625" style="124"/>
  </cols>
  <sheetData>
    <row r="1" spans="2:14" ht="19.5" customHeight="1" x14ac:dyDescent="0.25"/>
    <row r="2" spans="2:14" ht="18.75" x14ac:dyDescent="0.25">
      <c r="B2" s="125" t="s">
        <v>127</v>
      </c>
    </row>
    <row r="3" spans="2:14" ht="18" customHeight="1" x14ac:dyDescent="0.25">
      <c r="B3" s="347" t="s">
        <v>128</v>
      </c>
      <c r="C3" s="347"/>
      <c r="D3" s="347"/>
      <c r="E3" s="347"/>
    </row>
    <row r="4" spans="2:14" x14ac:dyDescent="0.25">
      <c r="B4" s="126" t="s">
        <v>129</v>
      </c>
    </row>
    <row r="5" spans="2:14" ht="6.75" customHeight="1" x14ac:dyDescent="0.25"/>
    <row r="6" spans="2:14" x14ac:dyDescent="0.25">
      <c r="B6" s="127"/>
      <c r="C6" s="348" t="s">
        <v>130</v>
      </c>
      <c r="D6" s="349"/>
      <c r="E6" s="348" t="s">
        <v>131</v>
      </c>
      <c r="F6" s="349"/>
      <c r="G6" s="350" t="s">
        <v>132</v>
      </c>
      <c r="H6" s="350"/>
      <c r="I6" s="128">
        <v>32</v>
      </c>
      <c r="L6" s="129" t="s">
        <v>133</v>
      </c>
      <c r="M6" s="130" t="s">
        <v>134</v>
      </c>
      <c r="N6" s="129" t="s">
        <v>135</v>
      </c>
    </row>
    <row r="7" spans="2:14" ht="17.25" x14ac:dyDescent="0.25">
      <c r="B7" s="127" t="s">
        <v>136</v>
      </c>
      <c r="C7" s="131">
        <f>I6-10</f>
        <v>22</v>
      </c>
      <c r="D7" s="132" t="s">
        <v>137</v>
      </c>
      <c r="E7" s="131">
        <f>CONVERT(C7,"C","F")</f>
        <v>71.599999999999994</v>
      </c>
      <c r="F7" s="132" t="s">
        <v>138</v>
      </c>
      <c r="G7" s="133">
        <f>CONVERT(C7,"C","K")</f>
        <v>295.14999999999998</v>
      </c>
      <c r="H7" s="134" t="s">
        <v>139</v>
      </c>
      <c r="I7" s="135" t="str">
        <f ca="1">_xlfn.FORMULATEXT(G7)</f>
        <v>=CONVERT(C7;"C";"K")</v>
      </c>
      <c r="L7" s="136">
        <v>1</v>
      </c>
      <c r="M7" s="137" t="s">
        <v>140</v>
      </c>
      <c r="N7" s="136" t="s">
        <v>141</v>
      </c>
    </row>
    <row r="8" spans="2:14" x14ac:dyDescent="0.25">
      <c r="I8" s="138"/>
      <c r="L8" s="136">
        <v>2</v>
      </c>
      <c r="M8" s="137" t="s">
        <v>142</v>
      </c>
      <c r="N8" s="136" t="s">
        <v>143</v>
      </c>
    </row>
    <row r="9" spans="2:14" x14ac:dyDescent="0.25">
      <c r="B9" s="127"/>
      <c r="C9" s="351">
        <v>3600</v>
      </c>
      <c r="D9" s="350" t="s">
        <v>68</v>
      </c>
      <c r="E9" s="350"/>
      <c r="F9" s="348" t="s">
        <v>65</v>
      </c>
      <c r="G9" s="349"/>
      <c r="H9" s="348" t="s">
        <v>111</v>
      </c>
      <c r="I9" s="350"/>
      <c r="L9" s="136">
        <v>3</v>
      </c>
      <c r="M9" s="137" t="s">
        <v>144</v>
      </c>
      <c r="N9" s="136" t="s">
        <v>145</v>
      </c>
    </row>
    <row r="10" spans="2:14" x14ac:dyDescent="0.25">
      <c r="B10" s="127" t="s">
        <v>69</v>
      </c>
      <c r="C10" s="351"/>
      <c r="D10" s="352">
        <f>CONVERT(C9,"sec","mn")</f>
        <v>60</v>
      </c>
      <c r="E10" s="352"/>
      <c r="F10" s="353">
        <f>CONVERT(C9,"sec","hr")</f>
        <v>1</v>
      </c>
      <c r="G10" s="354"/>
      <c r="H10" s="355">
        <f>CONVERT(C9,"sec","day")</f>
        <v>4.1666666666666664E-2</v>
      </c>
      <c r="I10" s="356"/>
      <c r="J10" s="135" t="str">
        <f ca="1">_xlfn.FORMULATEXT(H10)</f>
        <v>=CONVERT(C9;"sec";"day")</v>
      </c>
      <c r="L10" s="136">
        <v>4</v>
      </c>
      <c r="M10" s="137" t="s">
        <v>146</v>
      </c>
      <c r="N10" s="136" t="s">
        <v>147</v>
      </c>
    </row>
    <row r="11" spans="2:14" x14ac:dyDescent="0.25">
      <c r="L11" s="136">
        <v>5</v>
      </c>
      <c r="M11" s="137" t="s">
        <v>148</v>
      </c>
      <c r="N11" s="136" t="s">
        <v>149</v>
      </c>
    </row>
    <row r="12" spans="2:14" x14ac:dyDescent="0.25">
      <c r="B12" s="127"/>
      <c r="C12" s="357">
        <v>100</v>
      </c>
      <c r="D12" s="348" t="s">
        <v>18</v>
      </c>
      <c r="E12" s="349"/>
      <c r="F12" s="348" t="s">
        <v>65</v>
      </c>
      <c r="G12" s="349"/>
      <c r="H12" s="348" t="s">
        <v>68</v>
      </c>
      <c r="I12" s="350"/>
    </row>
    <row r="13" spans="2:14" x14ac:dyDescent="0.25">
      <c r="B13" s="127" t="s">
        <v>111</v>
      </c>
      <c r="C13" s="357"/>
      <c r="D13" s="358">
        <f>CONVERT(C12,"day","yr")</f>
        <v>0.27378507871321012</v>
      </c>
      <c r="E13" s="359"/>
      <c r="F13" s="360">
        <f>CONVERT(C12,"day","hr")</f>
        <v>2400</v>
      </c>
      <c r="G13" s="361"/>
      <c r="H13" s="362">
        <f>CONVERT(C12,"day","mn")</f>
        <v>144000</v>
      </c>
      <c r="I13" s="363"/>
      <c r="J13" s="139" t="str">
        <f ca="1">_xlfn.FORMULATEXT(H13)</f>
        <v>=CONVERT(C12;"day";"mn")</v>
      </c>
      <c r="K13" s="139"/>
      <c r="L13" s="129" t="s">
        <v>133</v>
      </c>
      <c r="M13" s="130" t="s">
        <v>150</v>
      </c>
      <c r="N13" s="129" t="s">
        <v>135</v>
      </c>
    </row>
    <row r="14" spans="2:14" x14ac:dyDescent="0.25">
      <c r="L14" s="136">
        <v>1</v>
      </c>
      <c r="M14" s="137" t="s">
        <v>151</v>
      </c>
      <c r="N14" s="136" t="s">
        <v>152</v>
      </c>
    </row>
    <row r="15" spans="2:14" x14ac:dyDescent="0.25">
      <c r="B15" s="127"/>
      <c r="C15" s="357">
        <v>1600</v>
      </c>
      <c r="D15" s="348" t="s">
        <v>153</v>
      </c>
      <c r="E15" s="349"/>
      <c r="F15" s="348" t="s">
        <v>154</v>
      </c>
      <c r="G15" s="349"/>
      <c r="H15" s="348" t="s">
        <v>155</v>
      </c>
      <c r="I15" s="350"/>
      <c r="L15" s="136">
        <v>2</v>
      </c>
      <c r="M15" s="137" t="s">
        <v>153</v>
      </c>
      <c r="N15" s="136" t="s">
        <v>156</v>
      </c>
    </row>
    <row r="16" spans="2:14" x14ac:dyDescent="0.25">
      <c r="B16" s="127" t="s">
        <v>157</v>
      </c>
      <c r="C16" s="357"/>
      <c r="D16" s="364">
        <f>CONVERT(C15,"m","mi")</f>
        <v>0.99419390757973436</v>
      </c>
      <c r="E16" s="364"/>
      <c r="F16" s="365">
        <f>CONVERT(C15,"m","Nmi")</f>
        <v>0.86393088552915764</v>
      </c>
      <c r="G16" s="366"/>
      <c r="H16" s="367">
        <f>CONVERT(C15,"m","yd")</f>
        <v>1749.7812773403325</v>
      </c>
      <c r="I16" s="368"/>
      <c r="J16" s="135" t="str">
        <f ca="1">_xlfn.FORMULATEXT(H16)</f>
        <v>=CONVERT(C15;"m";"yd")</v>
      </c>
      <c r="K16" s="135"/>
      <c r="L16" s="136">
        <v>3</v>
      </c>
      <c r="M16" s="137" t="s">
        <v>154</v>
      </c>
      <c r="N16" s="136" t="s">
        <v>158</v>
      </c>
    </row>
    <row r="17" spans="2:14" x14ac:dyDescent="0.25">
      <c r="L17" s="136">
        <v>4</v>
      </c>
      <c r="M17" s="137" t="s">
        <v>159</v>
      </c>
      <c r="N17" s="136" t="s">
        <v>160</v>
      </c>
    </row>
    <row r="18" spans="2:14" x14ac:dyDescent="0.25">
      <c r="L18" s="136">
        <v>5</v>
      </c>
      <c r="M18" s="137" t="s">
        <v>161</v>
      </c>
      <c r="N18" s="136" t="s">
        <v>162</v>
      </c>
    </row>
    <row r="19" spans="2:14" x14ac:dyDescent="0.25">
      <c r="L19" s="136">
        <v>6</v>
      </c>
      <c r="M19" s="137" t="s">
        <v>155</v>
      </c>
      <c r="N19" s="136" t="s">
        <v>163</v>
      </c>
    </row>
    <row r="20" spans="2:14" x14ac:dyDescent="0.25">
      <c r="B20" s="126"/>
      <c r="L20" s="136">
        <v>7</v>
      </c>
      <c r="M20" s="137" t="s">
        <v>164</v>
      </c>
      <c r="N20" s="136" t="s">
        <v>165</v>
      </c>
    </row>
    <row r="21" spans="2:14" x14ac:dyDescent="0.25">
      <c r="B21" s="126"/>
      <c r="L21" s="136">
        <v>8</v>
      </c>
      <c r="M21" s="137" t="s">
        <v>166</v>
      </c>
      <c r="N21" s="136" t="s">
        <v>167</v>
      </c>
    </row>
    <row r="22" spans="2:14" x14ac:dyDescent="0.25">
      <c r="B22" s="126"/>
    </row>
    <row r="23" spans="2:14" x14ac:dyDescent="0.25">
      <c r="B23" s="126"/>
      <c r="L23" s="129" t="s">
        <v>133</v>
      </c>
      <c r="M23" s="130" t="s">
        <v>168</v>
      </c>
      <c r="N23" s="129" t="s">
        <v>135</v>
      </c>
    </row>
    <row r="24" spans="2:14" x14ac:dyDescent="0.25">
      <c r="L24" s="136">
        <v>1</v>
      </c>
      <c r="M24" s="137" t="s">
        <v>169</v>
      </c>
      <c r="N24" s="136" t="s">
        <v>170</v>
      </c>
    </row>
    <row r="25" spans="2:14" x14ac:dyDescent="0.25">
      <c r="L25" s="136">
        <v>2</v>
      </c>
      <c r="M25" s="137" t="s">
        <v>171</v>
      </c>
      <c r="N25" s="136" t="s">
        <v>172</v>
      </c>
    </row>
    <row r="26" spans="2:14" x14ac:dyDescent="0.25">
      <c r="L26" s="136">
        <v>3</v>
      </c>
      <c r="M26" s="137" t="s">
        <v>173</v>
      </c>
      <c r="N26" s="136" t="s">
        <v>174</v>
      </c>
    </row>
    <row r="27" spans="2:14" x14ac:dyDescent="0.25">
      <c r="L27" s="136">
        <v>4</v>
      </c>
      <c r="M27" s="137" t="s">
        <v>175</v>
      </c>
      <c r="N27" s="136" t="s">
        <v>176</v>
      </c>
    </row>
    <row r="28" spans="2:14" x14ac:dyDescent="0.25">
      <c r="L28" s="136">
        <v>5</v>
      </c>
      <c r="M28" s="137" t="s">
        <v>177</v>
      </c>
      <c r="N28" s="136" t="s">
        <v>178</v>
      </c>
    </row>
    <row r="30" spans="2:14" x14ac:dyDescent="0.25">
      <c r="L30" s="129" t="s">
        <v>133</v>
      </c>
      <c r="M30" s="130" t="s">
        <v>179</v>
      </c>
      <c r="N30" s="129" t="s">
        <v>135</v>
      </c>
    </row>
    <row r="31" spans="2:14" x14ac:dyDescent="0.25">
      <c r="L31" s="136">
        <v>1</v>
      </c>
      <c r="M31" s="137" t="s">
        <v>180</v>
      </c>
      <c r="N31" s="136" t="s">
        <v>181</v>
      </c>
    </row>
    <row r="32" spans="2:14" x14ac:dyDescent="0.25">
      <c r="L32" s="136">
        <v>2</v>
      </c>
      <c r="M32" s="137" t="s">
        <v>182</v>
      </c>
      <c r="N32" s="136" t="s">
        <v>183</v>
      </c>
    </row>
    <row r="33" spans="12:14" x14ac:dyDescent="0.25">
      <c r="L33" s="136">
        <v>3</v>
      </c>
      <c r="M33" s="137" t="s">
        <v>184</v>
      </c>
      <c r="N33" s="136" t="s">
        <v>185</v>
      </c>
    </row>
    <row r="35" spans="12:14" x14ac:dyDescent="0.25">
      <c r="L35" s="129" t="s">
        <v>133</v>
      </c>
      <c r="M35" s="130" t="s">
        <v>186</v>
      </c>
      <c r="N35" s="129" t="s">
        <v>135</v>
      </c>
    </row>
    <row r="36" spans="12:14" x14ac:dyDescent="0.25">
      <c r="L36" s="136">
        <v>1</v>
      </c>
      <c r="M36" s="137" t="s">
        <v>187</v>
      </c>
      <c r="N36" s="136" t="s">
        <v>188</v>
      </c>
    </row>
    <row r="37" spans="12:14" x14ac:dyDescent="0.25">
      <c r="L37" s="136">
        <v>2</v>
      </c>
      <c r="M37" s="137" t="s">
        <v>189</v>
      </c>
      <c r="N37" s="136" t="s">
        <v>190</v>
      </c>
    </row>
    <row r="38" spans="12:14" x14ac:dyDescent="0.25">
      <c r="L38" s="136">
        <v>3</v>
      </c>
      <c r="M38" s="137" t="s">
        <v>191</v>
      </c>
      <c r="N38" s="136" t="s">
        <v>192</v>
      </c>
    </row>
    <row r="40" spans="12:14" x14ac:dyDescent="0.25">
      <c r="L40" s="129" t="s">
        <v>133</v>
      </c>
      <c r="M40" s="130" t="s">
        <v>193</v>
      </c>
      <c r="N40" s="129" t="s">
        <v>135</v>
      </c>
    </row>
    <row r="41" spans="12:14" x14ac:dyDescent="0.25">
      <c r="L41" s="136">
        <v>1</v>
      </c>
      <c r="M41" s="137" t="s">
        <v>194</v>
      </c>
      <c r="N41" s="136" t="s">
        <v>195</v>
      </c>
    </row>
    <row r="42" spans="12:14" x14ac:dyDescent="0.25">
      <c r="L42" s="136">
        <v>2</v>
      </c>
      <c r="M42" s="137" t="s">
        <v>196</v>
      </c>
      <c r="N42" s="136" t="s">
        <v>197</v>
      </c>
    </row>
    <row r="43" spans="12:14" x14ac:dyDescent="0.25">
      <c r="L43" s="136">
        <v>3</v>
      </c>
      <c r="M43" s="137" t="s">
        <v>198</v>
      </c>
      <c r="N43" s="136" t="s">
        <v>199</v>
      </c>
    </row>
    <row r="44" spans="12:14" x14ac:dyDescent="0.25">
      <c r="L44" s="136">
        <v>4</v>
      </c>
      <c r="M44" s="137" t="s">
        <v>200</v>
      </c>
      <c r="N44" s="136" t="s">
        <v>201</v>
      </c>
    </row>
    <row r="45" spans="12:14" x14ac:dyDescent="0.25">
      <c r="L45" s="136">
        <v>5</v>
      </c>
      <c r="M45" s="137" t="s">
        <v>202</v>
      </c>
      <c r="N45" s="136" t="s">
        <v>203</v>
      </c>
    </row>
    <row r="46" spans="12:14" x14ac:dyDescent="0.25">
      <c r="L46" s="136">
        <v>6</v>
      </c>
      <c r="M46" s="137" t="s">
        <v>204</v>
      </c>
      <c r="N46" s="136" t="s">
        <v>205</v>
      </c>
    </row>
    <row r="47" spans="12:14" x14ac:dyDescent="0.25">
      <c r="L47" s="136">
        <v>7</v>
      </c>
      <c r="M47" s="137" t="s">
        <v>206</v>
      </c>
      <c r="N47" s="136" t="s">
        <v>207</v>
      </c>
    </row>
    <row r="48" spans="12:14" x14ac:dyDescent="0.25">
      <c r="L48" s="136">
        <v>8</v>
      </c>
      <c r="M48" s="137" t="s">
        <v>208</v>
      </c>
      <c r="N48" s="136" t="s">
        <v>209</v>
      </c>
    </row>
    <row r="49" spans="12:14" x14ac:dyDescent="0.25">
      <c r="L49" s="136">
        <v>9</v>
      </c>
      <c r="M49" s="137" t="s">
        <v>210</v>
      </c>
      <c r="N49" s="136" t="s">
        <v>211</v>
      </c>
    </row>
    <row r="51" spans="12:14" x14ac:dyDescent="0.25">
      <c r="L51" s="129" t="s">
        <v>133</v>
      </c>
      <c r="M51" s="130" t="s">
        <v>212</v>
      </c>
      <c r="N51" s="129" t="s">
        <v>135</v>
      </c>
    </row>
    <row r="52" spans="12:14" x14ac:dyDescent="0.25">
      <c r="L52" s="136">
        <v>1</v>
      </c>
      <c r="M52" s="137" t="s">
        <v>213</v>
      </c>
      <c r="N52" s="136" t="s">
        <v>214</v>
      </c>
    </row>
    <row r="53" spans="12:14" x14ac:dyDescent="0.25">
      <c r="L53" s="136">
        <v>2</v>
      </c>
      <c r="M53" s="137" t="s">
        <v>215</v>
      </c>
      <c r="N53" s="136" t="s">
        <v>216</v>
      </c>
    </row>
    <row r="55" spans="12:14" x14ac:dyDescent="0.25">
      <c r="L55" s="129" t="s">
        <v>133</v>
      </c>
      <c r="M55" s="130" t="s">
        <v>217</v>
      </c>
      <c r="N55" s="129" t="s">
        <v>135</v>
      </c>
    </row>
    <row r="56" spans="12:14" x14ac:dyDescent="0.25">
      <c r="L56" s="136">
        <v>1</v>
      </c>
      <c r="M56" s="137" t="s">
        <v>218</v>
      </c>
      <c r="N56" s="136" t="s">
        <v>219</v>
      </c>
    </row>
    <row r="57" spans="12:14" x14ac:dyDescent="0.25">
      <c r="L57" s="136">
        <v>2</v>
      </c>
      <c r="M57" s="137" t="s">
        <v>220</v>
      </c>
      <c r="N57" s="136" t="s">
        <v>221</v>
      </c>
    </row>
    <row r="59" spans="12:14" x14ac:dyDescent="0.25">
      <c r="L59" s="129" t="s">
        <v>133</v>
      </c>
      <c r="M59" s="130" t="s">
        <v>222</v>
      </c>
      <c r="N59" s="129" t="s">
        <v>135</v>
      </c>
    </row>
    <row r="60" spans="12:14" x14ac:dyDescent="0.25">
      <c r="L60" s="136">
        <v>1</v>
      </c>
      <c r="M60" s="137" t="s">
        <v>223</v>
      </c>
      <c r="N60" s="136" t="s">
        <v>224</v>
      </c>
    </row>
    <row r="61" spans="12:14" x14ac:dyDescent="0.25">
      <c r="L61" s="136">
        <v>2</v>
      </c>
      <c r="M61" s="137" t="s">
        <v>225</v>
      </c>
      <c r="N61" s="136" t="s">
        <v>226</v>
      </c>
    </row>
    <row r="62" spans="12:14" x14ac:dyDescent="0.25">
      <c r="L62" s="136">
        <v>3</v>
      </c>
      <c r="M62" s="137" t="s">
        <v>132</v>
      </c>
      <c r="N62" s="136" t="s">
        <v>227</v>
      </c>
    </row>
    <row r="63" spans="12:14" ht="19.5" customHeight="1" x14ac:dyDescent="0.25"/>
  </sheetData>
  <mergeCells count="25">
    <mergeCell ref="C15:C16"/>
    <mergeCell ref="D15:E15"/>
    <mergeCell ref="F15:G15"/>
    <mergeCell ref="H15:I15"/>
    <mergeCell ref="D16:E16"/>
    <mergeCell ref="F16:G16"/>
    <mergeCell ref="H16:I16"/>
    <mergeCell ref="C12:C13"/>
    <mergeCell ref="D12:E12"/>
    <mergeCell ref="F12:G12"/>
    <mergeCell ref="H12:I12"/>
    <mergeCell ref="D13:E13"/>
    <mergeCell ref="F13:G13"/>
    <mergeCell ref="H13:I13"/>
    <mergeCell ref="B3:E3"/>
    <mergeCell ref="C6:D6"/>
    <mergeCell ref="E6:F6"/>
    <mergeCell ref="G6:H6"/>
    <mergeCell ref="C9:C10"/>
    <mergeCell ref="D9:E9"/>
    <mergeCell ref="F9:G9"/>
    <mergeCell ref="H9:I9"/>
    <mergeCell ref="D10:E10"/>
    <mergeCell ref="F10:G10"/>
    <mergeCell ref="H10:I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1</xdr:col>
                    <xdr:colOff>857250</xdr:colOff>
                    <xdr:row>6</xdr:row>
                    <xdr:rowOff>38100</xdr:rowOff>
                  </from>
                  <to>
                    <xdr:col>1</xdr:col>
                    <xdr:colOff>1343025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1</xdr:col>
                    <xdr:colOff>857250</xdr:colOff>
                    <xdr:row>15</xdr:row>
                    <xdr:rowOff>9525</xdr:rowOff>
                  </from>
                  <to>
                    <xdr:col>1</xdr:col>
                    <xdr:colOff>1343025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croll Bar 3">
              <controlPr defaultSize="0" autoPict="0">
                <anchor moveWithCells="1">
                  <from>
                    <xdr:col>1</xdr:col>
                    <xdr:colOff>857250</xdr:colOff>
                    <xdr:row>9</xdr:row>
                    <xdr:rowOff>0</xdr:rowOff>
                  </from>
                  <to>
                    <xdr:col>1</xdr:col>
                    <xdr:colOff>1343025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Scroll Bar 4">
              <controlPr defaultSize="0" autoPict="0">
                <anchor moveWithCells="1">
                  <from>
                    <xdr:col>1</xdr:col>
                    <xdr:colOff>857250</xdr:colOff>
                    <xdr:row>12</xdr:row>
                    <xdr:rowOff>9525</xdr:rowOff>
                  </from>
                  <to>
                    <xdr:col>1</xdr:col>
                    <xdr:colOff>1343025</xdr:colOff>
                    <xdr:row>12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8"/>
  <sheetViews>
    <sheetView showGridLines="0" workbookViewId="0">
      <selection activeCell="C13" sqref="C13"/>
    </sheetView>
  </sheetViews>
  <sheetFormatPr defaultRowHeight="15" x14ac:dyDescent="0.25"/>
  <cols>
    <col min="1" max="1" width="5.85546875" style="140" customWidth="1"/>
    <col min="2" max="2" width="21.5703125" style="140" customWidth="1"/>
    <col min="3" max="3" width="12.42578125" style="140" customWidth="1"/>
    <col min="4" max="4" width="25.85546875" style="140" customWidth="1"/>
    <col min="5" max="5" width="7.85546875" style="140" customWidth="1"/>
    <col min="6" max="6" width="4.7109375" style="140" customWidth="1"/>
    <col min="7" max="7" width="12.85546875" style="140" customWidth="1"/>
    <col min="8" max="8" width="13.85546875" style="140" customWidth="1"/>
    <col min="9" max="9" width="12.7109375" style="140" customWidth="1"/>
    <col min="10" max="10" width="10.42578125" style="140" customWidth="1"/>
    <col min="11" max="11" width="11.42578125" style="140" customWidth="1"/>
    <col min="12" max="12" width="11.7109375" style="140" customWidth="1"/>
    <col min="13" max="13" width="5.85546875" style="140" customWidth="1"/>
    <col min="14" max="16384" width="9.140625" style="140"/>
  </cols>
  <sheetData>
    <row r="1" spans="2:12" ht="19.5" customHeight="1" x14ac:dyDescent="0.25"/>
    <row r="2" spans="2:12" ht="18.75" x14ac:dyDescent="0.25">
      <c r="B2" s="142" t="s">
        <v>299</v>
      </c>
    </row>
    <row r="3" spans="2:12" x14ac:dyDescent="0.25">
      <c r="B3" s="236" t="s">
        <v>259</v>
      </c>
      <c r="F3" s="182" t="s">
        <v>261</v>
      </c>
    </row>
    <row r="4" spans="2:12" ht="16.5" customHeight="1" x14ac:dyDescent="0.25">
      <c r="B4" s="329" t="s">
        <v>260</v>
      </c>
      <c r="C4" s="329"/>
      <c r="D4" s="329"/>
      <c r="E4" s="152">
        <v>100</v>
      </c>
      <c r="F4" s="193" t="s">
        <v>262</v>
      </c>
      <c r="G4" s="194"/>
      <c r="H4" s="194"/>
      <c r="I4" s="147">
        <f>E4*1000000</f>
        <v>100000000</v>
      </c>
    </row>
    <row r="5" spans="2:12" ht="16.5" customHeight="1" x14ac:dyDescent="0.25">
      <c r="B5" s="6" t="s">
        <v>266</v>
      </c>
      <c r="C5" s="5"/>
      <c r="D5" s="5"/>
      <c r="E5" s="152">
        <v>800</v>
      </c>
      <c r="F5" s="193" t="s">
        <v>263</v>
      </c>
      <c r="G5" s="194"/>
      <c r="H5" s="194"/>
      <c r="I5" s="190">
        <f>E5/10000</f>
        <v>0.08</v>
      </c>
    </row>
    <row r="6" spans="2:12" ht="16.5" customHeight="1" x14ac:dyDescent="0.25">
      <c r="B6" s="50" t="s">
        <v>265</v>
      </c>
      <c r="C6" s="5"/>
      <c r="D6" s="5"/>
      <c r="E6" s="152"/>
      <c r="F6" s="195" t="s">
        <v>264</v>
      </c>
      <c r="G6" s="196"/>
      <c r="H6" s="196"/>
      <c r="I6" s="197">
        <v>3</v>
      </c>
    </row>
    <row r="7" spans="2:12" ht="16.5" customHeight="1" x14ac:dyDescent="0.25">
      <c r="E7" s="152"/>
      <c r="F7" s="188" t="s">
        <v>276</v>
      </c>
      <c r="G7" s="189"/>
      <c r="H7" s="189"/>
      <c r="I7" s="191">
        <f>-PMT(I5/12,I6*12,I4,0)</f>
        <v>3133636.5461430848</v>
      </c>
    </row>
    <row r="8" spans="2:12" ht="16.5" customHeight="1" x14ac:dyDescent="0.25">
      <c r="B8" s="229" t="s">
        <v>257</v>
      </c>
      <c r="C8" s="180"/>
      <c r="D8" s="180"/>
      <c r="E8" s="152">
        <v>5</v>
      </c>
      <c r="F8" s="188" t="s">
        <v>277</v>
      </c>
      <c r="G8" s="189"/>
      <c r="H8" s="189"/>
      <c r="I8" s="192">
        <f>E8+43465</f>
        <v>43470</v>
      </c>
    </row>
    <row r="9" spans="2:12" x14ac:dyDescent="0.25">
      <c r="B9" s="319" t="s">
        <v>258</v>
      </c>
      <c r="C9" s="319"/>
      <c r="D9" s="319"/>
    </row>
    <row r="10" spans="2:12" x14ac:dyDescent="0.25">
      <c r="B10" s="181" t="s">
        <v>267</v>
      </c>
      <c r="C10" s="180"/>
      <c r="D10" s="180"/>
      <c r="F10" s="182" t="s">
        <v>269</v>
      </c>
    </row>
    <row r="11" spans="2:12" x14ac:dyDescent="0.25">
      <c r="B11" s="140" t="s">
        <v>268</v>
      </c>
      <c r="F11" s="370" t="s">
        <v>0</v>
      </c>
      <c r="G11" s="186" t="s">
        <v>21</v>
      </c>
      <c r="H11" s="186" t="s">
        <v>270</v>
      </c>
      <c r="I11" s="186" t="s">
        <v>271</v>
      </c>
      <c r="J11" s="369" t="s">
        <v>275</v>
      </c>
      <c r="K11" s="369" t="s">
        <v>272</v>
      </c>
      <c r="L11" s="185" t="s">
        <v>273</v>
      </c>
    </row>
    <row r="12" spans="2:12" x14ac:dyDescent="0.25">
      <c r="F12" s="370"/>
      <c r="G12" s="186" t="s">
        <v>272</v>
      </c>
      <c r="H12" s="186" t="s">
        <v>274</v>
      </c>
      <c r="I12" s="186" t="s">
        <v>274</v>
      </c>
      <c r="J12" s="369"/>
      <c r="K12" s="369"/>
      <c r="L12" s="185" t="s">
        <v>274</v>
      </c>
    </row>
    <row r="13" spans="2:12" x14ac:dyDescent="0.25">
      <c r="B13" s="234" t="s">
        <v>298</v>
      </c>
      <c r="C13" s="235">
        <v>5</v>
      </c>
      <c r="F13" s="183">
        <v>1</v>
      </c>
      <c r="G13" s="184">
        <f>I8</f>
        <v>43470</v>
      </c>
      <c r="H13" s="141">
        <f>I4</f>
        <v>100000000</v>
      </c>
      <c r="I13" s="141">
        <f>IF(F13="","",I$7-J13)</f>
        <v>2466969.8794764178</v>
      </c>
      <c r="J13" s="141">
        <f>IF(F13="","",IPMT(I$5/12,F13,I$6*12,-I$4,0))</f>
        <v>666666.66666666674</v>
      </c>
      <c r="K13" s="141">
        <f>IF(F13="","",I13+J13)</f>
        <v>3133636.5461430848</v>
      </c>
      <c r="L13" s="141">
        <f>IF(F13="","",H13-I13)</f>
        <v>97533030.120523587</v>
      </c>
    </row>
    <row r="14" spans="2:12" x14ac:dyDescent="0.25">
      <c r="B14" s="231" t="s">
        <v>262</v>
      </c>
      <c r="C14" s="147">
        <f>I4</f>
        <v>100000000</v>
      </c>
      <c r="F14" s="183">
        <f>IF(F13&lt;I$6*12,F13+1,"")</f>
        <v>2</v>
      </c>
      <c r="G14" s="184">
        <f>IF(F14="","",EDATE(I$8,F13))</f>
        <v>43501</v>
      </c>
      <c r="H14" s="141">
        <f>IF(F14="","",L13)</f>
        <v>97533030.120523587</v>
      </c>
      <c r="I14" s="141">
        <f t="shared" ref="I14:I48" si="0">IF(F14="","",I$7-J14)</f>
        <v>2483416.3453395944</v>
      </c>
      <c r="J14" s="141">
        <f t="shared" ref="J14:J48" si="1">IF(F14="","",IPMT(I$5/12,F14,I$6*12,-I$4,0))</f>
        <v>650220.20080349059</v>
      </c>
      <c r="K14" s="141">
        <f t="shared" ref="K14:K48" si="2">IF(F14="","",I14+J14)</f>
        <v>3133636.5461430848</v>
      </c>
      <c r="L14" s="141">
        <f t="shared" ref="L14:L48" si="3">IF(F14="","",H14-I14)</f>
        <v>95049613.775183991</v>
      </c>
    </row>
    <row r="15" spans="2:12" x14ac:dyDescent="0.25">
      <c r="B15" s="231" t="s">
        <v>263</v>
      </c>
      <c r="C15" s="190">
        <f>I5</f>
        <v>0.08</v>
      </c>
      <c r="F15" s="183">
        <f t="shared" ref="F15:F48" si="4">IF(F14&lt;I$6*12,F14+1,"")</f>
        <v>3</v>
      </c>
      <c r="G15" s="184">
        <f t="shared" ref="G15:G48" si="5">IF(F15="","",EDATE(I$8,F14))</f>
        <v>43529</v>
      </c>
      <c r="H15" s="141">
        <f t="shared" ref="H15:H48" si="6">IF(F15="","",L14)</f>
        <v>95049613.775183991</v>
      </c>
      <c r="I15" s="141">
        <f t="shared" si="0"/>
        <v>2499972.4543085247</v>
      </c>
      <c r="J15" s="141">
        <f t="shared" si="1"/>
        <v>633664.09183455992</v>
      </c>
      <c r="K15" s="141">
        <f t="shared" si="2"/>
        <v>3133636.5461430848</v>
      </c>
      <c r="L15" s="141">
        <f t="shared" si="3"/>
        <v>92549641.320875466</v>
      </c>
    </row>
    <row r="16" spans="2:12" x14ac:dyDescent="0.25">
      <c r="B16" s="232" t="s">
        <v>264</v>
      </c>
      <c r="C16" s="233">
        <f>I6</f>
        <v>3</v>
      </c>
      <c r="F16" s="183">
        <f t="shared" si="4"/>
        <v>4</v>
      </c>
      <c r="G16" s="184">
        <f t="shared" si="5"/>
        <v>43560</v>
      </c>
      <c r="H16" s="141">
        <f t="shared" si="6"/>
        <v>92549641.320875466</v>
      </c>
      <c r="I16" s="141">
        <f t="shared" si="0"/>
        <v>2516638.9373372481</v>
      </c>
      <c r="J16" s="141">
        <f t="shared" si="1"/>
        <v>616997.60880583653</v>
      </c>
      <c r="K16" s="141">
        <f t="shared" si="2"/>
        <v>3133636.5461430848</v>
      </c>
      <c r="L16" s="141">
        <f t="shared" si="3"/>
        <v>90033002.383538216</v>
      </c>
    </row>
    <row r="17" spans="2:12" x14ac:dyDescent="0.25">
      <c r="B17" s="187" t="s">
        <v>271</v>
      </c>
      <c r="C17" s="230">
        <f>C19-C18</f>
        <v>2533416.5302528301</v>
      </c>
      <c r="F17" s="183">
        <f t="shared" si="4"/>
        <v>5</v>
      </c>
      <c r="G17" s="184">
        <f t="shared" si="5"/>
        <v>43590</v>
      </c>
      <c r="H17" s="141">
        <f t="shared" si="6"/>
        <v>90033002.383538216</v>
      </c>
      <c r="I17" s="141">
        <f t="shared" si="0"/>
        <v>2533416.5302528301</v>
      </c>
      <c r="J17" s="141">
        <f t="shared" si="1"/>
        <v>600220.01589025476</v>
      </c>
      <c r="K17" s="141">
        <f t="shared" si="2"/>
        <v>3133636.5461430848</v>
      </c>
      <c r="L17" s="141">
        <f t="shared" si="3"/>
        <v>87499585.853285387</v>
      </c>
    </row>
    <row r="18" spans="2:12" x14ac:dyDescent="0.25">
      <c r="B18" s="187" t="str">
        <f>"Bunga Angsuran ke-"&amp;C13</f>
        <v>Bunga Angsuran ke-5</v>
      </c>
      <c r="C18" s="230">
        <f>IPMT(C15/12,C13,C16*12,-C14,0)</f>
        <v>600220.01589025476</v>
      </c>
      <c r="D18" s="228" t="str">
        <f ca="1">_xlfn.FORMULATEXT(C18)</f>
        <v>=IPMT(C15/12;C13;C16*12;-C14;0)</v>
      </c>
      <c r="F18" s="183">
        <f t="shared" si="4"/>
        <v>6</v>
      </c>
      <c r="G18" s="184">
        <f t="shared" si="5"/>
        <v>43621</v>
      </c>
      <c r="H18" s="141">
        <f t="shared" si="6"/>
        <v>87499585.853285387</v>
      </c>
      <c r="I18" s="141">
        <f t="shared" si="0"/>
        <v>2550305.9737878488</v>
      </c>
      <c r="J18" s="141">
        <f t="shared" si="1"/>
        <v>583330.57235523593</v>
      </c>
      <c r="K18" s="141">
        <f t="shared" si="2"/>
        <v>3133636.5461430848</v>
      </c>
      <c r="L18" s="141">
        <f t="shared" si="3"/>
        <v>84949279.879497543</v>
      </c>
    </row>
    <row r="19" spans="2:12" x14ac:dyDescent="0.25">
      <c r="B19" s="187" t="s">
        <v>276</v>
      </c>
      <c r="C19" s="230">
        <f>PMT(C15/12,C16*12,-C14,0)</f>
        <v>3133636.5461430848</v>
      </c>
      <c r="D19" s="228" t="str">
        <f ca="1">_xlfn.FORMULATEXT(C19)</f>
        <v>=PMT(C15/12;C16*12;-C14;0)</v>
      </c>
      <c r="F19" s="183">
        <f t="shared" si="4"/>
        <v>7</v>
      </c>
      <c r="G19" s="184">
        <f t="shared" si="5"/>
        <v>43651</v>
      </c>
      <c r="H19" s="141">
        <f t="shared" si="6"/>
        <v>84949279.879497543</v>
      </c>
      <c r="I19" s="141">
        <f t="shared" si="0"/>
        <v>2567308.0136131011</v>
      </c>
      <c r="J19" s="141">
        <f t="shared" si="1"/>
        <v>566328.53252998355</v>
      </c>
      <c r="K19" s="141">
        <f t="shared" si="2"/>
        <v>3133636.5461430848</v>
      </c>
      <c r="L19" s="141">
        <f t="shared" si="3"/>
        <v>82381971.865884438</v>
      </c>
    </row>
    <row r="20" spans="2:12" x14ac:dyDescent="0.25">
      <c r="F20" s="183">
        <f t="shared" si="4"/>
        <v>8</v>
      </c>
      <c r="G20" s="184">
        <f t="shared" si="5"/>
        <v>43682</v>
      </c>
      <c r="H20" s="141">
        <f t="shared" si="6"/>
        <v>82381971.865884438</v>
      </c>
      <c r="I20" s="141">
        <f t="shared" si="0"/>
        <v>2584423.4003705219</v>
      </c>
      <c r="J20" s="141">
        <f t="shared" si="1"/>
        <v>549213.14577256294</v>
      </c>
      <c r="K20" s="141">
        <f t="shared" si="2"/>
        <v>3133636.5461430848</v>
      </c>
      <c r="L20" s="141">
        <f t="shared" si="3"/>
        <v>79797548.465513915</v>
      </c>
    </row>
    <row r="21" spans="2:12" x14ac:dyDescent="0.25">
      <c r="F21" s="183">
        <f t="shared" si="4"/>
        <v>9</v>
      </c>
      <c r="G21" s="184">
        <f t="shared" si="5"/>
        <v>43713</v>
      </c>
      <c r="H21" s="141">
        <f t="shared" si="6"/>
        <v>79797548.465513915</v>
      </c>
      <c r="I21" s="141">
        <f t="shared" si="0"/>
        <v>2601652.8897063253</v>
      </c>
      <c r="J21" s="141">
        <f t="shared" si="1"/>
        <v>531983.65643675951</v>
      </c>
      <c r="K21" s="141">
        <f t="shared" si="2"/>
        <v>3133636.5461430848</v>
      </c>
      <c r="L21" s="141">
        <f t="shared" si="3"/>
        <v>77195895.575807586</v>
      </c>
    </row>
    <row r="22" spans="2:12" x14ac:dyDescent="0.25">
      <c r="F22" s="183">
        <f t="shared" si="4"/>
        <v>10</v>
      </c>
      <c r="G22" s="184">
        <f t="shared" si="5"/>
        <v>43743</v>
      </c>
      <c r="H22" s="141">
        <f t="shared" si="6"/>
        <v>77195895.575807586</v>
      </c>
      <c r="I22" s="141">
        <f t="shared" si="0"/>
        <v>2618997.2423043675</v>
      </c>
      <c r="J22" s="141">
        <f t="shared" si="1"/>
        <v>514639.30383871729</v>
      </c>
      <c r="K22" s="141">
        <f t="shared" si="2"/>
        <v>3133636.5461430848</v>
      </c>
      <c r="L22" s="141">
        <f t="shared" si="3"/>
        <v>74576898.333503217</v>
      </c>
    </row>
    <row r="23" spans="2:12" x14ac:dyDescent="0.25">
      <c r="F23" s="183">
        <f t="shared" si="4"/>
        <v>11</v>
      </c>
      <c r="G23" s="184">
        <f t="shared" si="5"/>
        <v>43774</v>
      </c>
      <c r="H23" s="141">
        <f t="shared" si="6"/>
        <v>74576898.333503217</v>
      </c>
      <c r="I23" s="141">
        <f t="shared" si="0"/>
        <v>2636457.2239197297</v>
      </c>
      <c r="J23" s="141">
        <f t="shared" si="1"/>
        <v>497179.32222335483</v>
      </c>
      <c r="K23" s="141">
        <f t="shared" si="2"/>
        <v>3133636.5461430848</v>
      </c>
      <c r="L23" s="141">
        <f t="shared" si="3"/>
        <v>71940441.109583482</v>
      </c>
    </row>
    <row r="24" spans="2:12" x14ac:dyDescent="0.25">
      <c r="F24" s="183">
        <f t="shared" si="4"/>
        <v>12</v>
      </c>
      <c r="G24" s="184">
        <f t="shared" si="5"/>
        <v>43804</v>
      </c>
      <c r="H24" s="141">
        <f t="shared" si="6"/>
        <v>71940441.109583482</v>
      </c>
      <c r="I24" s="141">
        <f t="shared" si="0"/>
        <v>2654033.6054125284</v>
      </c>
      <c r="J24" s="141">
        <f t="shared" si="1"/>
        <v>479602.94073055655</v>
      </c>
      <c r="K24" s="141">
        <f t="shared" si="2"/>
        <v>3133636.5461430848</v>
      </c>
      <c r="L24" s="141">
        <f t="shared" si="3"/>
        <v>69286407.504170954</v>
      </c>
    </row>
    <row r="25" spans="2:12" x14ac:dyDescent="0.25">
      <c r="F25" s="183">
        <f t="shared" si="4"/>
        <v>13</v>
      </c>
      <c r="G25" s="184">
        <f t="shared" si="5"/>
        <v>43835</v>
      </c>
      <c r="H25" s="141">
        <f t="shared" si="6"/>
        <v>69286407.504170954</v>
      </c>
      <c r="I25" s="141">
        <f t="shared" si="0"/>
        <v>2671727.162781945</v>
      </c>
      <c r="J25" s="141">
        <f t="shared" si="1"/>
        <v>461909.3833611398</v>
      </c>
      <c r="K25" s="141">
        <f t="shared" si="2"/>
        <v>3133636.5461430848</v>
      </c>
      <c r="L25" s="141">
        <f t="shared" si="3"/>
        <v>66614680.341389008</v>
      </c>
    </row>
    <row r="26" spans="2:12" x14ac:dyDescent="0.25">
      <c r="F26" s="183">
        <f t="shared" si="4"/>
        <v>14</v>
      </c>
      <c r="G26" s="184">
        <f t="shared" si="5"/>
        <v>43866</v>
      </c>
      <c r="H26" s="141">
        <f t="shared" si="6"/>
        <v>66614680.341389008</v>
      </c>
      <c r="I26" s="141">
        <f t="shared" si="0"/>
        <v>2689538.6772004915</v>
      </c>
      <c r="J26" s="141">
        <f t="shared" si="1"/>
        <v>444097.8689425934</v>
      </c>
      <c r="K26" s="141">
        <f t="shared" si="2"/>
        <v>3133636.5461430848</v>
      </c>
      <c r="L26" s="141">
        <f t="shared" si="3"/>
        <v>63925141.664188519</v>
      </c>
    </row>
    <row r="27" spans="2:12" x14ac:dyDescent="0.25">
      <c r="F27" s="183">
        <f t="shared" si="4"/>
        <v>15</v>
      </c>
      <c r="G27" s="184">
        <f t="shared" si="5"/>
        <v>43895</v>
      </c>
      <c r="H27" s="141">
        <f t="shared" si="6"/>
        <v>63925141.664188519</v>
      </c>
      <c r="I27" s="141">
        <f t="shared" si="0"/>
        <v>2707468.9350484945</v>
      </c>
      <c r="J27" s="141">
        <f t="shared" si="1"/>
        <v>426167.61109459022</v>
      </c>
      <c r="K27" s="141">
        <f t="shared" si="2"/>
        <v>3133636.5461430848</v>
      </c>
      <c r="L27" s="141">
        <f t="shared" si="3"/>
        <v>61217672.729140028</v>
      </c>
    </row>
    <row r="28" spans="2:12" x14ac:dyDescent="0.25">
      <c r="F28" s="183">
        <f t="shared" si="4"/>
        <v>16</v>
      </c>
      <c r="G28" s="184">
        <f t="shared" si="5"/>
        <v>43926</v>
      </c>
      <c r="H28" s="141">
        <f t="shared" si="6"/>
        <v>61217672.729140028</v>
      </c>
      <c r="I28" s="141">
        <f t="shared" si="0"/>
        <v>2725518.7279488179</v>
      </c>
      <c r="J28" s="141">
        <f t="shared" si="1"/>
        <v>408117.81819426687</v>
      </c>
      <c r="K28" s="141">
        <f t="shared" si="2"/>
        <v>3133636.5461430848</v>
      </c>
      <c r="L28" s="141">
        <f t="shared" si="3"/>
        <v>58492154.001191214</v>
      </c>
    </row>
    <row r="29" spans="2:12" x14ac:dyDescent="0.25">
      <c r="F29" s="183">
        <f t="shared" si="4"/>
        <v>17</v>
      </c>
      <c r="G29" s="184">
        <f t="shared" si="5"/>
        <v>43956</v>
      </c>
      <c r="H29" s="141">
        <f t="shared" si="6"/>
        <v>58492154.001191214</v>
      </c>
      <c r="I29" s="141">
        <f t="shared" si="0"/>
        <v>2743688.85280181</v>
      </c>
      <c r="J29" s="141">
        <f t="shared" si="1"/>
        <v>389947.6933412748</v>
      </c>
      <c r="K29" s="141">
        <f t="shared" si="2"/>
        <v>3133636.5461430848</v>
      </c>
      <c r="L29" s="141">
        <f t="shared" si="3"/>
        <v>55748465.148389407</v>
      </c>
    </row>
    <row r="30" spans="2:12" x14ac:dyDescent="0.25">
      <c r="F30" s="183">
        <f t="shared" si="4"/>
        <v>18</v>
      </c>
      <c r="G30" s="184">
        <f t="shared" si="5"/>
        <v>43987</v>
      </c>
      <c r="H30" s="141">
        <f t="shared" si="6"/>
        <v>55748465.148389407</v>
      </c>
      <c r="I30" s="141">
        <f t="shared" si="0"/>
        <v>2761980.1118204887</v>
      </c>
      <c r="J30" s="141">
        <f t="shared" si="1"/>
        <v>371656.43432259606</v>
      </c>
      <c r="K30" s="141">
        <f t="shared" si="2"/>
        <v>3133636.5461430848</v>
      </c>
      <c r="L30" s="141">
        <f t="shared" si="3"/>
        <v>52986485.036568917</v>
      </c>
    </row>
    <row r="31" spans="2:12" x14ac:dyDescent="0.25">
      <c r="F31" s="183">
        <f t="shared" si="4"/>
        <v>19</v>
      </c>
      <c r="G31" s="184">
        <f t="shared" si="5"/>
        <v>44017</v>
      </c>
      <c r="H31" s="141">
        <f t="shared" si="6"/>
        <v>52986485.036568917</v>
      </c>
      <c r="I31" s="141">
        <f t="shared" si="0"/>
        <v>2780393.3125659586</v>
      </c>
      <c r="J31" s="141">
        <f t="shared" si="1"/>
        <v>353243.23357712611</v>
      </c>
      <c r="K31" s="141">
        <f t="shared" si="2"/>
        <v>3133636.5461430848</v>
      </c>
      <c r="L31" s="141">
        <f t="shared" si="3"/>
        <v>50206091.724002957</v>
      </c>
    </row>
    <row r="32" spans="2:12" x14ac:dyDescent="0.25">
      <c r="F32" s="183">
        <f t="shared" si="4"/>
        <v>20</v>
      </c>
      <c r="G32" s="184">
        <f t="shared" si="5"/>
        <v>44048</v>
      </c>
      <c r="H32" s="141">
        <f t="shared" si="6"/>
        <v>50206091.724002957</v>
      </c>
      <c r="I32" s="141">
        <f t="shared" si="0"/>
        <v>2798929.267983065</v>
      </c>
      <c r="J32" s="141">
        <f t="shared" si="1"/>
        <v>334707.27816001966</v>
      </c>
      <c r="K32" s="141">
        <f t="shared" si="2"/>
        <v>3133636.5461430848</v>
      </c>
      <c r="L32" s="141">
        <f t="shared" si="3"/>
        <v>47407162.456019893</v>
      </c>
    </row>
    <row r="33" spans="6:12" x14ac:dyDescent="0.25">
      <c r="F33" s="183">
        <f t="shared" si="4"/>
        <v>21</v>
      </c>
      <c r="G33" s="184">
        <f t="shared" si="5"/>
        <v>44079</v>
      </c>
      <c r="H33" s="141">
        <f t="shared" si="6"/>
        <v>47407162.456019893</v>
      </c>
      <c r="I33" s="141">
        <f t="shared" si="0"/>
        <v>2817588.7964362856</v>
      </c>
      <c r="J33" s="141">
        <f t="shared" si="1"/>
        <v>316047.74970679928</v>
      </c>
      <c r="K33" s="141">
        <f t="shared" si="2"/>
        <v>3133636.5461430848</v>
      </c>
      <c r="L33" s="141">
        <f t="shared" si="3"/>
        <v>44589573.659583606</v>
      </c>
    </row>
    <row r="34" spans="6:12" x14ac:dyDescent="0.25">
      <c r="F34" s="183">
        <f t="shared" si="4"/>
        <v>22</v>
      </c>
      <c r="G34" s="184">
        <f t="shared" si="5"/>
        <v>44109</v>
      </c>
      <c r="H34" s="141">
        <f t="shared" si="6"/>
        <v>44589573.659583606</v>
      </c>
      <c r="I34" s="141">
        <f t="shared" si="0"/>
        <v>2836372.7217458608</v>
      </c>
      <c r="J34" s="141">
        <f t="shared" si="1"/>
        <v>297263.824397224</v>
      </c>
      <c r="K34" s="141">
        <f t="shared" si="2"/>
        <v>3133636.5461430848</v>
      </c>
      <c r="L34" s="141">
        <f t="shared" si="3"/>
        <v>41753200.937837742</v>
      </c>
    </row>
    <row r="35" spans="6:12" x14ac:dyDescent="0.25">
      <c r="F35" s="183">
        <f t="shared" si="4"/>
        <v>23</v>
      </c>
      <c r="G35" s="184">
        <f t="shared" si="5"/>
        <v>44140</v>
      </c>
      <c r="H35" s="141">
        <f t="shared" si="6"/>
        <v>41753200.937837742</v>
      </c>
      <c r="I35" s="141">
        <f t="shared" si="0"/>
        <v>2855281.8732241662</v>
      </c>
      <c r="J35" s="141">
        <f t="shared" si="1"/>
        <v>278354.67291891831</v>
      </c>
      <c r="K35" s="141">
        <f t="shared" si="2"/>
        <v>3133636.5461430848</v>
      </c>
      <c r="L35" s="141">
        <f t="shared" si="3"/>
        <v>38897919.064613573</v>
      </c>
    </row>
    <row r="36" spans="6:12" x14ac:dyDescent="0.25">
      <c r="F36" s="183">
        <f t="shared" si="4"/>
        <v>24</v>
      </c>
      <c r="G36" s="184">
        <f t="shared" si="5"/>
        <v>44170</v>
      </c>
      <c r="H36" s="141">
        <f t="shared" si="6"/>
        <v>38897919.064613573</v>
      </c>
      <c r="I36" s="141">
        <f t="shared" si="0"/>
        <v>2874317.0857123276</v>
      </c>
      <c r="J36" s="141">
        <f t="shared" si="1"/>
        <v>259319.46043075717</v>
      </c>
      <c r="K36" s="141">
        <f t="shared" si="2"/>
        <v>3133636.5461430848</v>
      </c>
      <c r="L36" s="141">
        <f t="shared" si="3"/>
        <v>36023601.978901245</v>
      </c>
    </row>
    <row r="37" spans="6:12" x14ac:dyDescent="0.25">
      <c r="F37" s="183">
        <f t="shared" si="4"/>
        <v>25</v>
      </c>
      <c r="G37" s="184">
        <f t="shared" si="5"/>
        <v>44201</v>
      </c>
      <c r="H37" s="141">
        <f t="shared" si="6"/>
        <v>36023601.978901245</v>
      </c>
      <c r="I37" s="141">
        <f t="shared" si="0"/>
        <v>2893479.1996170767</v>
      </c>
      <c r="J37" s="141">
        <f t="shared" si="1"/>
        <v>240157.3465260083</v>
      </c>
      <c r="K37" s="141">
        <f t="shared" si="2"/>
        <v>3133636.5461430848</v>
      </c>
      <c r="L37" s="141">
        <f t="shared" si="3"/>
        <v>33130122.779284168</v>
      </c>
    </row>
    <row r="38" spans="6:12" x14ac:dyDescent="0.25">
      <c r="F38" s="183">
        <f t="shared" si="4"/>
        <v>26</v>
      </c>
      <c r="G38" s="184">
        <f t="shared" si="5"/>
        <v>44232</v>
      </c>
      <c r="H38" s="141">
        <f t="shared" si="6"/>
        <v>33130122.779284168</v>
      </c>
      <c r="I38" s="141">
        <f t="shared" si="0"/>
        <v>2912769.0609478569</v>
      </c>
      <c r="J38" s="141">
        <f t="shared" si="1"/>
        <v>220867.48519522784</v>
      </c>
      <c r="K38" s="141">
        <f t="shared" si="2"/>
        <v>3133636.5461430848</v>
      </c>
      <c r="L38" s="141">
        <f t="shared" si="3"/>
        <v>30217353.71833631</v>
      </c>
    </row>
    <row r="39" spans="6:12" x14ac:dyDescent="0.25">
      <c r="F39" s="183">
        <f t="shared" si="4"/>
        <v>27</v>
      </c>
      <c r="G39" s="184">
        <f t="shared" si="5"/>
        <v>44260</v>
      </c>
      <c r="H39" s="141">
        <f t="shared" si="6"/>
        <v>30217353.71833631</v>
      </c>
      <c r="I39" s="141">
        <f t="shared" si="0"/>
        <v>2932187.5213541761</v>
      </c>
      <c r="J39" s="141">
        <f t="shared" si="1"/>
        <v>201449.02478890875</v>
      </c>
      <c r="K39" s="141">
        <f t="shared" si="2"/>
        <v>3133636.5461430848</v>
      </c>
      <c r="L39" s="141">
        <f t="shared" si="3"/>
        <v>27285166.196982134</v>
      </c>
    </row>
    <row r="40" spans="6:12" x14ac:dyDescent="0.25">
      <c r="F40" s="183">
        <f t="shared" si="4"/>
        <v>28</v>
      </c>
      <c r="G40" s="184">
        <f t="shared" si="5"/>
        <v>44291</v>
      </c>
      <c r="H40" s="141">
        <f t="shared" si="6"/>
        <v>27285166.196982134</v>
      </c>
      <c r="I40" s="141">
        <f t="shared" si="0"/>
        <v>2951735.4381632037</v>
      </c>
      <c r="J40" s="141">
        <f t="shared" si="1"/>
        <v>181901.10797988091</v>
      </c>
      <c r="K40" s="141">
        <f t="shared" si="2"/>
        <v>3133636.5461430848</v>
      </c>
      <c r="L40" s="141">
        <f t="shared" si="3"/>
        <v>24333430.758818932</v>
      </c>
    </row>
    <row r="41" spans="6:12" x14ac:dyDescent="0.25">
      <c r="F41" s="183">
        <f t="shared" si="4"/>
        <v>29</v>
      </c>
      <c r="G41" s="184">
        <f t="shared" si="5"/>
        <v>44321</v>
      </c>
      <c r="H41" s="141">
        <f t="shared" si="6"/>
        <v>24333430.758818932</v>
      </c>
      <c r="I41" s="141">
        <f t="shared" si="0"/>
        <v>2971413.6744176252</v>
      </c>
      <c r="J41" s="141">
        <f t="shared" si="1"/>
        <v>162222.87172545952</v>
      </c>
      <c r="K41" s="141">
        <f t="shared" si="2"/>
        <v>3133636.5461430848</v>
      </c>
      <c r="L41" s="141">
        <f t="shared" si="3"/>
        <v>21362017.084401306</v>
      </c>
    </row>
    <row r="42" spans="6:12" x14ac:dyDescent="0.25">
      <c r="F42" s="183">
        <f>IF(F41&lt;I$6*12,F41+1,"")</f>
        <v>30</v>
      </c>
      <c r="G42" s="184">
        <f t="shared" si="5"/>
        <v>44352</v>
      </c>
      <c r="H42" s="141">
        <f t="shared" si="6"/>
        <v>21362017.084401306</v>
      </c>
      <c r="I42" s="141">
        <f t="shared" si="0"/>
        <v>2991223.0989137427</v>
      </c>
      <c r="J42" s="141">
        <f t="shared" si="1"/>
        <v>142413.44722934204</v>
      </c>
      <c r="K42" s="141">
        <f t="shared" si="2"/>
        <v>3133636.5461430848</v>
      </c>
      <c r="L42" s="141">
        <f t="shared" si="3"/>
        <v>18370793.985487562</v>
      </c>
    </row>
    <row r="43" spans="6:12" x14ac:dyDescent="0.25">
      <c r="F43" s="183">
        <f t="shared" si="4"/>
        <v>31</v>
      </c>
      <c r="G43" s="184">
        <f t="shared" si="5"/>
        <v>44382</v>
      </c>
      <c r="H43" s="141">
        <f t="shared" si="6"/>
        <v>18370793.985487562</v>
      </c>
      <c r="I43" s="141">
        <f t="shared" si="0"/>
        <v>3011164.5862398343</v>
      </c>
      <c r="J43" s="141">
        <f t="shared" si="1"/>
        <v>122471.95990325045</v>
      </c>
      <c r="K43" s="141">
        <f t="shared" si="2"/>
        <v>3133636.5461430848</v>
      </c>
      <c r="L43" s="141">
        <f t="shared" si="3"/>
        <v>15359629.399247728</v>
      </c>
    </row>
    <row r="44" spans="6:12" x14ac:dyDescent="0.25">
      <c r="F44" s="183">
        <f t="shared" si="4"/>
        <v>32</v>
      </c>
      <c r="G44" s="184">
        <f t="shared" si="5"/>
        <v>44413</v>
      </c>
      <c r="H44" s="141">
        <f t="shared" si="6"/>
        <v>15359629.399247728</v>
      </c>
      <c r="I44" s="141">
        <f t="shared" si="0"/>
        <v>3031239.0168147665</v>
      </c>
      <c r="J44" s="141">
        <f t="shared" si="1"/>
        <v>102397.5293283182</v>
      </c>
      <c r="K44" s="141">
        <f t="shared" si="2"/>
        <v>3133636.5461430848</v>
      </c>
      <c r="L44" s="141">
        <f t="shared" si="3"/>
        <v>12328390.382432962</v>
      </c>
    </row>
    <row r="45" spans="6:12" x14ac:dyDescent="0.25">
      <c r="F45" s="183">
        <f t="shared" si="4"/>
        <v>33</v>
      </c>
      <c r="G45" s="184">
        <f t="shared" si="5"/>
        <v>44444</v>
      </c>
      <c r="H45" s="141">
        <f t="shared" si="6"/>
        <v>12328390.382432962</v>
      </c>
      <c r="I45" s="141">
        <f t="shared" si="0"/>
        <v>3051447.2769268649</v>
      </c>
      <c r="J45" s="141">
        <f t="shared" si="1"/>
        <v>82189.269216219749</v>
      </c>
      <c r="K45" s="141">
        <f t="shared" si="2"/>
        <v>3133636.5461430848</v>
      </c>
      <c r="L45" s="141">
        <f t="shared" si="3"/>
        <v>9276943.105506096</v>
      </c>
    </row>
    <row r="46" spans="6:12" x14ac:dyDescent="0.25">
      <c r="F46" s="183">
        <f t="shared" si="4"/>
        <v>34</v>
      </c>
      <c r="G46" s="184">
        <f t="shared" si="5"/>
        <v>44474</v>
      </c>
      <c r="H46" s="141">
        <f t="shared" si="6"/>
        <v>9276943.105506096</v>
      </c>
      <c r="I46" s="141">
        <f t="shared" si="0"/>
        <v>3071790.2587730442</v>
      </c>
      <c r="J46" s="141">
        <f t="shared" si="1"/>
        <v>61846.287370040634</v>
      </c>
      <c r="K46" s="141">
        <f t="shared" si="2"/>
        <v>3133636.5461430848</v>
      </c>
      <c r="L46" s="141">
        <f t="shared" si="3"/>
        <v>6205152.8467330523</v>
      </c>
    </row>
    <row r="47" spans="6:12" x14ac:dyDescent="0.25">
      <c r="F47" s="183">
        <f t="shared" si="4"/>
        <v>35</v>
      </c>
      <c r="G47" s="184">
        <f t="shared" si="5"/>
        <v>44505</v>
      </c>
      <c r="H47" s="141">
        <f t="shared" si="6"/>
        <v>6205152.8467330523</v>
      </c>
      <c r="I47" s="141">
        <f t="shared" si="0"/>
        <v>3092268.8604981978</v>
      </c>
      <c r="J47" s="141">
        <f t="shared" si="1"/>
        <v>41367.685644887002</v>
      </c>
      <c r="K47" s="141">
        <f t="shared" si="2"/>
        <v>3133636.5461430848</v>
      </c>
      <c r="L47" s="141">
        <f t="shared" si="3"/>
        <v>3112883.9862348544</v>
      </c>
    </row>
    <row r="48" spans="6:12" x14ac:dyDescent="0.25">
      <c r="F48" s="183">
        <f t="shared" si="4"/>
        <v>36</v>
      </c>
      <c r="G48" s="184">
        <f t="shared" si="5"/>
        <v>44535</v>
      </c>
      <c r="H48" s="141">
        <f t="shared" si="6"/>
        <v>3112883.9862348544</v>
      </c>
      <c r="I48" s="141">
        <f t="shared" si="0"/>
        <v>3112883.9862348526</v>
      </c>
      <c r="J48" s="141">
        <f t="shared" si="1"/>
        <v>20752.559908232353</v>
      </c>
      <c r="K48" s="141">
        <f t="shared" si="2"/>
        <v>3133636.5461430848</v>
      </c>
      <c r="L48" s="141">
        <f t="shared" si="3"/>
        <v>1.862645149230957E-9</v>
      </c>
    </row>
  </sheetData>
  <mergeCells count="5">
    <mergeCell ref="K11:K12"/>
    <mergeCell ref="B4:D4"/>
    <mergeCell ref="B9:D9"/>
    <mergeCell ref="F11:F12"/>
    <mergeCell ref="J11:J12"/>
  </mergeCells>
  <conditionalFormatting sqref="F13:L48">
    <cfRule type="expression" dxfId="6" priority="3">
      <formula>$C$13=$F13</formula>
    </cfRule>
    <cfRule type="notContainsBlanks" dxfId="5" priority="4">
      <formula>LEN(TRIM(F13))&gt;0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3" name="Scroll Bar 1">
              <controlPr defaultSize="0" autoPict="0">
                <anchor moveWithCells="1">
                  <from>
                    <xdr:col>7</xdr:col>
                    <xdr:colOff>333375</xdr:colOff>
                    <xdr:row>7</xdr:row>
                    <xdr:rowOff>19050</xdr:rowOff>
                  </from>
                  <to>
                    <xdr:col>7</xdr:col>
                    <xdr:colOff>819150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4" name="Scroll Bar 2">
              <controlPr defaultSize="0" autoPict="0">
                <anchor moveWithCells="1">
                  <from>
                    <xdr:col>7</xdr:col>
                    <xdr:colOff>333375</xdr:colOff>
                    <xdr:row>3</xdr:row>
                    <xdr:rowOff>28575</xdr:rowOff>
                  </from>
                  <to>
                    <xdr:col>7</xdr:col>
                    <xdr:colOff>819150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5" name="Scroll Bar 3">
              <controlPr defaultSize="0" autoPict="0">
                <anchor moveWithCells="1">
                  <from>
                    <xdr:col>7</xdr:col>
                    <xdr:colOff>333375</xdr:colOff>
                    <xdr:row>4</xdr:row>
                    <xdr:rowOff>19050</xdr:rowOff>
                  </from>
                  <to>
                    <xdr:col>7</xdr:col>
                    <xdr:colOff>819150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6" name="Scroll Bar 6">
              <controlPr defaultSize="0" autoPict="0">
                <anchor moveWithCells="1">
                  <from>
                    <xdr:col>1</xdr:col>
                    <xdr:colOff>876300</xdr:colOff>
                    <xdr:row>12</xdr:row>
                    <xdr:rowOff>9525</xdr:rowOff>
                  </from>
                  <to>
                    <xdr:col>1</xdr:col>
                    <xdr:colOff>1362075</xdr:colOff>
                    <xdr:row>12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showGridLines="0" workbookViewId="0">
      <selection activeCell="B8" sqref="B8"/>
    </sheetView>
  </sheetViews>
  <sheetFormatPr defaultRowHeight="15" x14ac:dyDescent="0.25"/>
  <cols>
    <col min="1" max="1" width="5.85546875" style="1" customWidth="1"/>
    <col min="2" max="2" width="19.140625" style="1" customWidth="1"/>
    <col min="3" max="3" width="2.28515625" style="1" customWidth="1"/>
    <col min="4" max="4" width="12.42578125" style="1" customWidth="1"/>
    <col min="5" max="5" width="21.140625" style="1" customWidth="1"/>
    <col min="6" max="6" width="22.85546875" style="1" customWidth="1"/>
    <col min="7" max="7" width="64.5703125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8.75" x14ac:dyDescent="0.25">
      <c r="B2" s="3" t="s">
        <v>98</v>
      </c>
    </row>
    <row r="3" spans="2:7" ht="18" customHeight="1" x14ac:dyDescent="0.25">
      <c r="B3" s="317" t="s">
        <v>99</v>
      </c>
      <c r="C3" s="317"/>
      <c r="D3" s="317"/>
    </row>
    <row r="4" spans="2:7" x14ac:dyDescent="0.25">
      <c r="B4" s="6" t="s">
        <v>100</v>
      </c>
    </row>
    <row r="5" spans="2:7" x14ac:dyDescent="0.25">
      <c r="B5" s="6" t="s">
        <v>101</v>
      </c>
    </row>
    <row r="6" spans="2:7" x14ac:dyDescent="0.25">
      <c r="B6" s="104" t="s">
        <v>102</v>
      </c>
    </row>
    <row r="7" spans="2:7" ht="16.5" customHeight="1" x14ac:dyDescent="0.25">
      <c r="B7" s="34" t="s">
        <v>103</v>
      </c>
      <c r="D7" s="318" t="s">
        <v>19</v>
      </c>
      <c r="E7" s="318"/>
      <c r="F7" s="105" t="s">
        <v>31</v>
      </c>
      <c r="G7" s="106" t="s">
        <v>81</v>
      </c>
    </row>
    <row r="8" spans="2:7" ht="16.5" customHeight="1" x14ac:dyDescent="0.25">
      <c r="B8" s="107">
        <f ca="1">TODAY()</f>
        <v>43614</v>
      </c>
      <c r="D8" s="31" t="str">
        <f ca="1">_xlfn.FORMULATEXT(B8)</f>
        <v>=TODAY()</v>
      </c>
      <c r="E8" s="31"/>
      <c r="F8" s="108" t="str">
        <f ca="1">_xlfn.FORMULATEXT(D8)</f>
        <v>=FORMULATEXT(B8)</v>
      </c>
      <c r="G8" s="109" t="str">
        <f ca="1">"Isian pada alamat sel "&amp;ADDRESS(ROW(B8),COLUMN(B8),4)&amp;" adalah: "&amp;_xlfn.FORMULATEXT(B8)</f>
        <v>Isian pada alamat sel B8 adalah: =TODAY()</v>
      </c>
    </row>
    <row r="9" spans="2:7" ht="16.5" customHeight="1" x14ac:dyDescent="0.25">
      <c r="B9" s="109">
        <f>3*2*5</f>
        <v>30</v>
      </c>
      <c r="D9" s="31" t="str">
        <f ca="1">_xlfn.FORMULATEXT(B9)</f>
        <v>=3*2*5</v>
      </c>
      <c r="E9" s="31"/>
      <c r="F9" s="108" t="str">
        <f t="shared" ref="F9:F18" ca="1" si="0">_xlfn.FORMULATEXT(D9)</f>
        <v>=FORMULATEXT(B9)</v>
      </c>
      <c r="G9" s="109" t="str">
        <f t="shared" ref="G9:G18" ca="1" si="1">"Isian pada alamat sel "&amp;ADDRESS(ROW(B9),COLUMN(B9),4)&amp;" adalah: "&amp;_xlfn.FORMULATEXT(B9)</f>
        <v>Isian pada alamat sel B9 adalah: =3*2*5</v>
      </c>
    </row>
    <row r="10" spans="2:7" ht="16.5" customHeight="1" x14ac:dyDescent="0.25">
      <c r="B10" s="110">
        <f ca="1">NOW()</f>
        <v>43614.619669328706</v>
      </c>
      <c r="D10" s="31" t="str">
        <f t="shared" ref="D10:D18" ca="1" si="2">_xlfn.FORMULATEXT(B10)</f>
        <v>=NOW()</v>
      </c>
      <c r="E10" s="31"/>
      <c r="F10" s="108" t="str">
        <f t="shared" ca="1" si="0"/>
        <v>=FORMULATEXT(B10)</v>
      </c>
      <c r="G10" s="109" t="str">
        <f t="shared" ca="1" si="1"/>
        <v>Isian pada alamat sel B10 adalah: =NOW()</v>
      </c>
    </row>
    <row r="11" spans="2:7" ht="16.5" customHeight="1" x14ac:dyDescent="0.25">
      <c r="B11" s="109" t="str">
        <f ca="1">TEXT(TODAY(),"dd mmmm yyy")</f>
        <v>29 Mei 2019</v>
      </c>
      <c r="D11" s="31" t="str">
        <f t="shared" ca="1" si="2"/>
        <v>=TEXT(TODAY();"dd mmmm yyy")</v>
      </c>
      <c r="E11" s="31"/>
      <c r="F11" s="108" t="str">
        <f t="shared" ca="1" si="0"/>
        <v>=FORMULATEXT(B11)</v>
      </c>
      <c r="G11" s="109" t="str">
        <f t="shared" ca="1" si="1"/>
        <v>Isian pada alamat sel B11 adalah: =TEXT(TODAY();"dd mmmm yyy")</v>
      </c>
    </row>
    <row r="12" spans="2:7" ht="16.5" customHeight="1" x14ac:dyDescent="0.25">
      <c r="B12" s="30">
        <f ca="1">SUM(B8:B11)</f>
        <v>87258.619669328706</v>
      </c>
      <c r="D12" s="31" t="str">
        <f t="shared" ca="1" si="2"/>
        <v>=SUM(B8:B11)</v>
      </c>
      <c r="E12" s="31"/>
      <c r="F12" s="108" t="str">
        <f t="shared" ca="1" si="0"/>
        <v>=FORMULATEXT(B12)</v>
      </c>
      <c r="G12" s="109" t="str">
        <f t="shared" ca="1" si="1"/>
        <v>Isian pada alamat sel B12 adalah: =SUM(B8:B11)</v>
      </c>
    </row>
    <row r="13" spans="2:7" ht="16.5" customHeight="1" x14ac:dyDescent="0.25">
      <c r="B13" s="109" t="str">
        <f>ADDRESS(ROW(B13),COLUMN(B13))</f>
        <v>$B$13</v>
      </c>
      <c r="D13" s="31" t="str">
        <f t="shared" ca="1" si="2"/>
        <v>=ADDRESS(ROW(B13);COLUMN(B13))</v>
      </c>
      <c r="E13" s="31"/>
      <c r="F13" s="108" t="str">
        <f t="shared" ca="1" si="0"/>
        <v>=FORMULATEXT(B13)</v>
      </c>
      <c r="G13" s="109" t="str">
        <f t="shared" ca="1" si="1"/>
        <v>Isian pada alamat sel B13 adalah: =ADDRESS(ROW(B13);COLUMN(B13))</v>
      </c>
    </row>
    <row r="14" spans="2:7" ht="16.5" customHeight="1" x14ac:dyDescent="0.25">
      <c r="B14" s="30">
        <f>(2*25)^5</f>
        <v>312500000</v>
      </c>
      <c r="D14" s="31" t="str">
        <f t="shared" ca="1" si="2"/>
        <v>=(2*25)^5</v>
      </c>
      <c r="E14" s="31"/>
      <c r="F14" s="108" t="str">
        <f t="shared" ca="1" si="0"/>
        <v>=FORMULATEXT(B14)</v>
      </c>
      <c r="G14" s="109" t="str">
        <f t="shared" ca="1" si="1"/>
        <v>Isian pada alamat sel B14 adalah: =(2*25)^5</v>
      </c>
    </row>
    <row r="15" spans="2:7" ht="16.5" customHeight="1" x14ac:dyDescent="0.25">
      <c r="B15" s="30">
        <f ca="1">ROUNDUP(B12,-3)</f>
        <v>88000</v>
      </c>
      <c r="D15" s="31" t="str">
        <f t="shared" ca="1" si="2"/>
        <v>=ROUNDUP(B12;-3)</v>
      </c>
      <c r="E15" s="31"/>
      <c r="F15" s="108" t="str">
        <f t="shared" ca="1" si="0"/>
        <v>=FORMULATEXT(B15)</v>
      </c>
      <c r="G15" s="109" t="str">
        <f t="shared" ca="1" si="1"/>
        <v>Isian pada alamat sel B15 adalah: =ROUNDUP(B12;-3)</v>
      </c>
    </row>
    <row r="16" spans="2:7" ht="16.5" customHeight="1" x14ac:dyDescent="0.25">
      <c r="B16" s="30">
        <f ca="1">ROUNDDOWN(B12,-3)</f>
        <v>87000</v>
      </c>
      <c r="D16" s="31" t="str">
        <f t="shared" ca="1" si="2"/>
        <v>=ROUNDDOWN(B12;-3)</v>
      </c>
      <c r="E16" s="31"/>
      <c r="F16" s="108" t="str">
        <f t="shared" ca="1" si="0"/>
        <v>=FORMULATEXT(B16)</v>
      </c>
      <c r="G16" s="109" t="str">
        <f t="shared" ca="1" si="1"/>
        <v>Isian pada alamat sel B16 adalah: =ROUNDDOWN(B12;-3)</v>
      </c>
    </row>
    <row r="17" spans="2:7" ht="16.5" customHeight="1" x14ac:dyDescent="0.25">
      <c r="B17" s="109">
        <f ca="1">SQRT(B16)</f>
        <v>294.95762407505254</v>
      </c>
      <c r="D17" s="31" t="str">
        <f t="shared" ca="1" si="2"/>
        <v>=SQRT(B16)</v>
      </c>
      <c r="E17" s="31"/>
      <c r="F17" s="108" t="str">
        <f t="shared" ca="1" si="0"/>
        <v>=FORMULATEXT(B17)</v>
      </c>
      <c r="G17" s="109" t="str">
        <f t="shared" ca="1" si="1"/>
        <v>Isian pada alamat sel B17 adalah: =SQRT(B16)</v>
      </c>
    </row>
    <row r="18" spans="2:7" ht="16.5" customHeight="1" x14ac:dyDescent="0.25">
      <c r="B18" s="109">
        <f>SQRT(10000)</f>
        <v>100</v>
      </c>
      <c r="D18" s="31" t="str">
        <f t="shared" ca="1" si="2"/>
        <v>=SQRT(10000)</v>
      </c>
      <c r="E18" s="31"/>
      <c r="F18" s="108" t="str">
        <f t="shared" ca="1" si="0"/>
        <v>=FORMULATEXT(B18)</v>
      </c>
      <c r="G18" s="109" t="str">
        <f t="shared" ca="1" si="1"/>
        <v>Isian pada alamat sel B18 adalah: =SQRT(10000)</v>
      </c>
    </row>
    <row r="19" spans="2:7" ht="19.5" customHeight="1" x14ac:dyDescent="0.25"/>
  </sheetData>
  <mergeCells count="2">
    <mergeCell ref="B3:D3"/>
    <mergeCell ref="D7:E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workbookViewId="0">
      <selection activeCell="D7" sqref="D7"/>
    </sheetView>
  </sheetViews>
  <sheetFormatPr defaultRowHeight="15" customHeight="1" x14ac:dyDescent="0.25"/>
  <cols>
    <col min="1" max="1" width="5.85546875" style="2" customWidth="1"/>
    <col min="2" max="2" width="8.42578125" style="1" customWidth="1"/>
    <col min="3" max="3" width="31" style="1" customWidth="1"/>
    <col min="4" max="4" width="14.85546875" style="1" customWidth="1"/>
    <col min="5" max="5" width="6.85546875" style="28" customWidth="1"/>
    <col min="6" max="6" width="9.140625" style="1"/>
    <col min="7" max="7" width="19" style="1" customWidth="1"/>
    <col min="8" max="8" width="5.7109375" style="1" customWidth="1"/>
    <col min="9" max="16384" width="9.140625" style="1"/>
  </cols>
  <sheetData>
    <row r="1" spans="2:7" ht="19.5" customHeight="1" x14ac:dyDescent="0.25">
      <c r="B1" s="5"/>
      <c r="C1" s="164"/>
      <c r="D1" s="5"/>
      <c r="E1" s="165"/>
    </row>
    <row r="2" spans="2:7" ht="18.75" customHeight="1" x14ac:dyDescent="0.25">
      <c r="B2" s="3" t="s">
        <v>243</v>
      </c>
      <c r="C2" s="5"/>
      <c r="D2" s="5"/>
      <c r="E2" s="165"/>
    </row>
    <row r="3" spans="2:7" ht="18" customHeight="1" x14ac:dyDescent="0.25">
      <c r="B3" s="319" t="s">
        <v>244</v>
      </c>
      <c r="C3" s="319"/>
      <c r="D3" s="319"/>
      <c r="E3" s="165"/>
    </row>
    <row r="4" spans="2:7" ht="15" customHeight="1" x14ac:dyDescent="0.25">
      <c r="B4" s="6" t="s">
        <v>245</v>
      </c>
      <c r="C4" s="5"/>
      <c r="D4" s="5"/>
      <c r="E4" s="165"/>
    </row>
    <row r="5" spans="2:7" ht="15" customHeight="1" x14ac:dyDescent="0.25">
      <c r="B5" s="50" t="s">
        <v>246</v>
      </c>
      <c r="C5" s="5"/>
      <c r="D5" s="5"/>
      <c r="E5" s="165"/>
    </row>
    <row r="6" spans="2:7" ht="15" customHeight="1" x14ac:dyDescent="0.25">
      <c r="C6" s="5"/>
      <c r="D6" s="5"/>
      <c r="E6" s="165"/>
    </row>
    <row r="7" spans="2:7" ht="16.5" customHeight="1" thickBot="1" x14ac:dyDescent="0.3">
      <c r="B7" s="29" t="s">
        <v>247</v>
      </c>
      <c r="C7" s="166"/>
      <c r="D7" s="167">
        <v>50</v>
      </c>
      <c r="E7" s="14"/>
      <c r="F7" s="168" t="s">
        <v>248</v>
      </c>
      <c r="G7" s="168" t="s">
        <v>249</v>
      </c>
    </row>
    <row r="8" spans="2:7" ht="16.5" customHeight="1" x14ac:dyDescent="0.25">
      <c r="B8" s="29" t="s">
        <v>250</v>
      </c>
      <c r="C8" s="166"/>
      <c r="D8" s="169">
        <f>E8*1000</f>
        <v>1350000</v>
      </c>
      <c r="E8" s="14">
        <v>1350</v>
      </c>
      <c r="F8" s="112">
        <v>0</v>
      </c>
      <c r="G8" s="170" t="s">
        <v>251</v>
      </c>
    </row>
    <row r="9" spans="2:7" ht="16.5" customHeight="1" thickBot="1" x14ac:dyDescent="0.3">
      <c r="B9" s="29" t="s">
        <v>252</v>
      </c>
      <c r="C9" s="166"/>
      <c r="D9" s="169">
        <f>E9*100000</f>
        <v>50000000</v>
      </c>
      <c r="E9" s="14">
        <v>500</v>
      </c>
      <c r="F9" s="171">
        <v>1</v>
      </c>
      <c r="G9" s="172" t="s">
        <v>253</v>
      </c>
    </row>
    <row r="10" spans="2:7" ht="16.5" customHeight="1" x14ac:dyDescent="0.25">
      <c r="B10" s="29" t="s">
        <v>254</v>
      </c>
      <c r="C10" s="166"/>
      <c r="D10" s="173">
        <v>0</v>
      </c>
      <c r="E10" s="14"/>
    </row>
    <row r="11" spans="2:7" ht="16.5" customHeight="1" x14ac:dyDescent="0.25">
      <c r="B11" s="174"/>
      <c r="C11" s="175" t="s">
        <v>255</v>
      </c>
      <c r="D11" s="176">
        <f>RATE(D7,-D8,D9,,D10)</f>
        <v>1.2471188577631234E-2</v>
      </c>
      <c r="E11" s="71" t="str">
        <f ca="1">_xlfn.FORMULATEXT(D11)</f>
        <v>=RATE(D7;-D8;D9;;D10)</v>
      </c>
    </row>
    <row r="12" spans="2:7" ht="16.5" customHeight="1" x14ac:dyDescent="0.25">
      <c r="B12" s="177"/>
      <c r="C12" s="178" t="s">
        <v>256</v>
      </c>
      <c r="D12" s="179">
        <f>D11*12</f>
        <v>0.1496542629315748</v>
      </c>
      <c r="E12" s="71" t="str">
        <f ca="1">_xlfn.FORMULATEXT(D12)</f>
        <v>=D11*12</v>
      </c>
    </row>
    <row r="13" spans="2:7" ht="19.5" customHeight="1" x14ac:dyDescent="0.25">
      <c r="B13" s="2"/>
      <c r="C13" s="2"/>
      <c r="D13" s="2"/>
      <c r="E13" s="14"/>
    </row>
    <row r="14" spans="2:7" ht="15" customHeight="1" x14ac:dyDescent="0.25">
      <c r="B14" s="2"/>
      <c r="C14" s="2"/>
      <c r="D14" s="2"/>
      <c r="E14" s="14"/>
    </row>
    <row r="15" spans="2:7" ht="15" customHeight="1" x14ac:dyDescent="0.25">
      <c r="B15" s="2"/>
      <c r="C15" s="2"/>
      <c r="D15" s="2"/>
      <c r="E15" s="14"/>
    </row>
    <row r="16" spans="2:7" ht="15" customHeight="1" x14ac:dyDescent="0.25">
      <c r="B16" s="2"/>
      <c r="C16" s="2"/>
      <c r="D16" s="2"/>
      <c r="E16" s="14"/>
    </row>
    <row r="17" spans="2:5" ht="15" customHeight="1" x14ac:dyDescent="0.25">
      <c r="B17" s="2"/>
      <c r="C17" s="2"/>
      <c r="D17" s="2"/>
      <c r="E17" s="14"/>
    </row>
    <row r="18" spans="2:5" ht="15" customHeight="1" x14ac:dyDescent="0.25">
      <c r="B18" s="2"/>
      <c r="C18" s="2"/>
      <c r="D18" s="2"/>
      <c r="E18" s="14"/>
    </row>
    <row r="19" spans="2:5" ht="15" customHeight="1" x14ac:dyDescent="0.25">
      <c r="B19" s="2"/>
      <c r="C19" s="2"/>
      <c r="D19" s="2"/>
      <c r="E19" s="14"/>
    </row>
    <row r="20" spans="2:5" ht="15" customHeight="1" x14ac:dyDescent="0.25">
      <c r="B20" s="2"/>
      <c r="C20" s="2"/>
      <c r="D20" s="2"/>
      <c r="E20" s="14"/>
    </row>
    <row r="21" spans="2:5" ht="15" customHeight="1" x14ac:dyDescent="0.25">
      <c r="B21" s="2"/>
      <c r="C21" s="2"/>
      <c r="D21" s="2"/>
      <c r="E21" s="14"/>
    </row>
    <row r="22" spans="2:5" ht="15" customHeight="1" x14ac:dyDescent="0.25">
      <c r="B22" s="2"/>
      <c r="C22" s="2"/>
      <c r="D22" s="2"/>
      <c r="E22" s="14"/>
    </row>
    <row r="23" spans="2:5" ht="15" customHeight="1" x14ac:dyDescent="0.25">
      <c r="B23" s="2"/>
      <c r="C23" s="2"/>
      <c r="D23" s="2"/>
      <c r="E23" s="14"/>
    </row>
    <row r="24" spans="2:5" ht="15" customHeight="1" x14ac:dyDescent="0.25">
      <c r="B24" s="2"/>
      <c r="C24" s="2"/>
      <c r="D24" s="2"/>
      <c r="E24" s="14"/>
    </row>
    <row r="25" spans="2:5" ht="15" customHeight="1" x14ac:dyDescent="0.25">
      <c r="B25" s="2"/>
      <c r="C25" s="2"/>
      <c r="D25" s="2"/>
      <c r="E25" s="14"/>
    </row>
    <row r="26" spans="2:5" ht="15" customHeight="1" x14ac:dyDescent="0.25">
      <c r="B26" s="2"/>
      <c r="C26" s="2"/>
      <c r="D26" s="2"/>
      <c r="E26" s="14"/>
    </row>
    <row r="27" spans="2:5" ht="15" customHeight="1" x14ac:dyDescent="0.25">
      <c r="B27" s="2"/>
      <c r="C27" s="2"/>
      <c r="D27" s="2"/>
      <c r="E27" s="14"/>
    </row>
    <row r="28" spans="2:5" ht="15" customHeight="1" x14ac:dyDescent="0.25">
      <c r="B28" s="2"/>
      <c r="C28" s="2"/>
      <c r="D28" s="2"/>
      <c r="E28" s="14"/>
    </row>
    <row r="29" spans="2:5" ht="15" customHeight="1" x14ac:dyDescent="0.25">
      <c r="B29" s="2"/>
      <c r="C29" s="2"/>
      <c r="D29" s="2"/>
      <c r="E29" s="14"/>
    </row>
    <row r="30" spans="2:5" ht="15" customHeight="1" x14ac:dyDescent="0.25">
      <c r="B30" s="2"/>
      <c r="C30" s="2"/>
      <c r="D30" s="2"/>
      <c r="E30" s="14"/>
    </row>
    <row r="31" spans="2:5" ht="15" customHeight="1" x14ac:dyDescent="0.25">
      <c r="B31" s="2"/>
      <c r="C31" s="2"/>
      <c r="D31" s="2"/>
      <c r="E31" s="14"/>
    </row>
    <row r="32" spans="2:5" ht="15" customHeight="1" x14ac:dyDescent="0.25">
      <c r="B32" s="2"/>
      <c r="C32" s="2"/>
      <c r="D32" s="2"/>
      <c r="E32" s="14"/>
    </row>
    <row r="33" spans="2:5" ht="15" customHeight="1" x14ac:dyDescent="0.25">
      <c r="B33" s="2"/>
      <c r="C33" s="2"/>
      <c r="D33" s="2"/>
      <c r="E33" s="14"/>
    </row>
    <row r="34" spans="2:5" ht="15" customHeight="1" x14ac:dyDescent="0.25">
      <c r="B34" s="2"/>
      <c r="C34" s="2"/>
      <c r="D34" s="2"/>
      <c r="E34" s="14"/>
    </row>
    <row r="35" spans="2:5" ht="15" customHeight="1" x14ac:dyDescent="0.25">
      <c r="B35" s="2"/>
      <c r="C35" s="2"/>
      <c r="D35" s="2"/>
      <c r="E35" s="14"/>
    </row>
    <row r="36" spans="2:5" ht="15" customHeight="1" x14ac:dyDescent="0.25">
      <c r="B36" s="2"/>
      <c r="C36" s="2"/>
      <c r="D36" s="2"/>
      <c r="E36" s="14"/>
    </row>
    <row r="37" spans="2:5" ht="15" customHeight="1" x14ac:dyDescent="0.25">
      <c r="B37" s="2"/>
      <c r="C37" s="2"/>
      <c r="D37" s="2"/>
      <c r="E37" s="14"/>
    </row>
    <row r="38" spans="2:5" ht="15" customHeight="1" x14ac:dyDescent="0.25">
      <c r="B38" s="2"/>
      <c r="C38" s="2"/>
      <c r="D38" s="2"/>
      <c r="E38" s="14"/>
    </row>
    <row r="39" spans="2:5" ht="15" customHeight="1" x14ac:dyDescent="0.25">
      <c r="B39" s="2"/>
      <c r="C39" s="2"/>
      <c r="D39" s="2"/>
      <c r="E39" s="14"/>
    </row>
    <row r="40" spans="2:5" ht="15" customHeight="1" x14ac:dyDescent="0.25">
      <c r="B40" s="2"/>
      <c r="C40" s="2"/>
      <c r="D40" s="2"/>
      <c r="E40" s="14"/>
    </row>
    <row r="41" spans="2:5" ht="15" customHeight="1" x14ac:dyDescent="0.25">
      <c r="B41" s="2"/>
      <c r="C41" s="2"/>
      <c r="D41" s="2"/>
      <c r="E41" s="14"/>
    </row>
    <row r="42" spans="2:5" ht="15" customHeight="1" x14ac:dyDescent="0.25">
      <c r="B42" s="2"/>
      <c r="C42" s="2"/>
      <c r="D42" s="2"/>
      <c r="E42" s="14"/>
    </row>
    <row r="43" spans="2:5" ht="15" customHeight="1" x14ac:dyDescent="0.25">
      <c r="B43" s="2"/>
      <c r="C43" s="2"/>
      <c r="D43" s="2"/>
      <c r="E43" s="14"/>
    </row>
    <row r="44" spans="2:5" ht="15" customHeight="1" x14ac:dyDescent="0.25">
      <c r="B44" s="2"/>
      <c r="C44" s="2"/>
      <c r="D44" s="2"/>
      <c r="E44" s="14"/>
    </row>
    <row r="45" spans="2:5" ht="15" customHeight="1" x14ac:dyDescent="0.25">
      <c r="B45" s="2"/>
      <c r="C45" s="2"/>
      <c r="D45" s="2"/>
      <c r="E45" s="14"/>
    </row>
  </sheetData>
  <mergeCells count="1">
    <mergeCell ref="B3:D3"/>
  </mergeCells>
  <dataValidations count="1">
    <dataValidation type="list" allowBlank="1" showInputMessage="1" showErrorMessage="1" sqref="D10">
      <formula1>#REF!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Scroll Bar 1">
              <controlPr defaultSize="0" autoPict="0">
                <anchor moveWithCells="1">
                  <from>
                    <xdr:col>2</xdr:col>
                    <xdr:colOff>1495425</xdr:colOff>
                    <xdr:row>6</xdr:row>
                    <xdr:rowOff>28575</xdr:rowOff>
                  </from>
                  <to>
                    <xdr:col>2</xdr:col>
                    <xdr:colOff>1981200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Scroll Bar 2">
              <controlPr defaultSize="0" autoPict="0">
                <anchor moveWithCells="1">
                  <from>
                    <xdr:col>2</xdr:col>
                    <xdr:colOff>1495425</xdr:colOff>
                    <xdr:row>8</xdr:row>
                    <xdr:rowOff>28575</xdr:rowOff>
                  </from>
                  <to>
                    <xdr:col>2</xdr:col>
                    <xdr:colOff>1981200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5" name="Scroll Bar 3">
              <controlPr defaultSize="0" autoPict="0">
                <anchor moveWithCells="1">
                  <from>
                    <xdr:col>2</xdr:col>
                    <xdr:colOff>1495425</xdr:colOff>
                    <xdr:row>7</xdr:row>
                    <xdr:rowOff>28575</xdr:rowOff>
                  </from>
                  <to>
                    <xdr:col>2</xdr:col>
                    <xdr:colOff>1981200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9"/>
  <sheetViews>
    <sheetView showGridLines="0" topLeftCell="A3" zoomScaleNormal="100" workbookViewId="0">
      <selection activeCell="F8" sqref="F8"/>
    </sheetView>
  </sheetViews>
  <sheetFormatPr defaultRowHeight="15" x14ac:dyDescent="0.25"/>
  <cols>
    <col min="1" max="1" width="5.85546875" style="249" customWidth="1"/>
    <col min="2" max="2" width="6.140625" style="249" customWidth="1"/>
    <col min="3" max="3" width="1" style="249" customWidth="1"/>
    <col min="4" max="4" width="15.7109375" style="249" customWidth="1"/>
    <col min="5" max="5" width="11.42578125" style="249" customWidth="1"/>
    <col min="6" max="6" width="12.42578125" style="249" customWidth="1"/>
    <col min="7" max="7" width="4" style="249" customWidth="1"/>
    <col min="8" max="8" width="19.85546875" style="249" customWidth="1"/>
    <col min="9" max="9" width="5.85546875" style="249" customWidth="1"/>
    <col min="10" max="16384" width="9.140625" style="249"/>
  </cols>
  <sheetData>
    <row r="1" spans="1:8" ht="19.5" customHeight="1" x14ac:dyDescent="0.25"/>
    <row r="2" spans="1:8" ht="18.75" x14ac:dyDescent="0.25">
      <c r="B2" s="238" t="s">
        <v>330</v>
      </c>
    </row>
    <row r="3" spans="1:8" ht="18" customHeight="1" x14ac:dyDescent="0.25">
      <c r="B3" s="339" t="s">
        <v>331</v>
      </c>
      <c r="C3" s="339"/>
      <c r="D3" s="339"/>
      <c r="E3" s="339"/>
    </row>
    <row r="4" spans="1:8" x14ac:dyDescent="0.25">
      <c r="B4" s="6" t="s">
        <v>332</v>
      </c>
    </row>
    <row r="5" spans="1:8" x14ac:dyDescent="0.25">
      <c r="B5" s="50" t="s">
        <v>333</v>
      </c>
    </row>
    <row r="6" spans="1:8" ht="6.75" customHeight="1" x14ac:dyDescent="0.25"/>
    <row r="7" spans="1:8" ht="18.75" customHeight="1" x14ac:dyDescent="0.25">
      <c r="A7" s="250"/>
      <c r="B7" s="251" t="str">
        <f>"Order (pilihan nilai) - "&amp;G7</f>
        <v>Order (pilihan nilai) - 0</v>
      </c>
      <c r="C7" s="252"/>
      <c r="D7" s="252"/>
      <c r="E7" s="253"/>
      <c r="F7" s="254" t="str">
        <f>IF(G7=0,"tertinggi","terendah")</f>
        <v>tertinggi</v>
      </c>
      <c r="G7" s="255">
        <v>0</v>
      </c>
      <c r="H7" s="256" t="s">
        <v>334</v>
      </c>
    </row>
    <row r="8" spans="1:8" ht="15" customHeight="1" x14ac:dyDescent="0.25">
      <c r="A8" s="250"/>
      <c r="B8" s="371" t="s">
        <v>335</v>
      </c>
      <c r="C8" s="371"/>
      <c r="D8" s="371"/>
      <c r="E8" s="371"/>
      <c r="F8" s="257">
        <v>6</v>
      </c>
      <c r="G8" s="256" t="s">
        <v>336</v>
      </c>
      <c r="H8" s="256"/>
    </row>
    <row r="9" spans="1:8" ht="15" customHeight="1" x14ac:dyDescent="0.25">
      <c r="B9" s="372" t="s">
        <v>0</v>
      </c>
      <c r="C9" s="374" t="s">
        <v>337</v>
      </c>
      <c r="D9" s="375"/>
      <c r="E9" s="376"/>
      <c r="F9" s="377" t="s">
        <v>338</v>
      </c>
    </row>
    <row r="10" spans="1:8" ht="15" customHeight="1" x14ac:dyDescent="0.25">
      <c r="B10" s="373"/>
      <c r="C10" s="258" t="s">
        <v>339</v>
      </c>
      <c r="D10" s="259"/>
      <c r="E10" s="260" t="s">
        <v>340</v>
      </c>
      <c r="F10" s="378"/>
    </row>
    <row r="11" spans="1:8" ht="15" customHeight="1" x14ac:dyDescent="0.25">
      <c r="B11" s="261">
        <v>1</v>
      </c>
      <c r="C11" s="262">
        <f>F11</f>
        <v>1</v>
      </c>
      <c r="D11" s="263" t="s">
        <v>116</v>
      </c>
      <c r="E11" s="264">
        <v>34750</v>
      </c>
      <c r="F11" s="265">
        <f>RANK(E11,E$11:E$25,G$7)</f>
        <v>1</v>
      </c>
      <c r="G11" s="266" t="str">
        <f ca="1">_xlfn.FORMULATEXT(F11)</f>
        <v>=RANK(E11;E$11:E$25;G$7)</v>
      </c>
    </row>
    <row r="12" spans="1:8" ht="15" customHeight="1" x14ac:dyDescent="0.25">
      <c r="B12" s="267">
        <v>2</v>
      </c>
      <c r="C12" s="262">
        <f t="shared" ref="C12:C25" si="0">F12</f>
        <v>6</v>
      </c>
      <c r="D12" s="268" t="s">
        <v>118</v>
      </c>
      <c r="E12" s="269">
        <v>18950</v>
      </c>
      <c r="F12" s="270">
        <f t="shared" ref="F12:F25" si="1">RANK(E12,E$11:E$25,G$7)</f>
        <v>6</v>
      </c>
    </row>
    <row r="13" spans="1:8" ht="15" customHeight="1" x14ac:dyDescent="0.25">
      <c r="B13" s="267">
        <v>3</v>
      </c>
      <c r="C13" s="262">
        <f t="shared" si="0"/>
        <v>8</v>
      </c>
      <c r="D13" s="268" t="s">
        <v>123</v>
      </c>
      <c r="E13" s="269">
        <v>17580</v>
      </c>
      <c r="F13" s="270">
        <f t="shared" si="1"/>
        <v>8</v>
      </c>
    </row>
    <row r="14" spans="1:8" ht="15" customHeight="1" x14ac:dyDescent="0.25">
      <c r="B14" s="267">
        <v>4</v>
      </c>
      <c r="C14" s="262">
        <f t="shared" si="0"/>
        <v>3</v>
      </c>
      <c r="D14" s="268" t="s">
        <v>124</v>
      </c>
      <c r="E14" s="269">
        <v>22450</v>
      </c>
      <c r="F14" s="270">
        <f t="shared" si="1"/>
        <v>3</v>
      </c>
    </row>
    <row r="15" spans="1:8" x14ac:dyDescent="0.25">
      <c r="B15" s="267">
        <v>5</v>
      </c>
      <c r="C15" s="262">
        <f t="shared" si="0"/>
        <v>10</v>
      </c>
      <c r="D15" s="268" t="s">
        <v>341</v>
      </c>
      <c r="E15" s="269">
        <v>16750</v>
      </c>
      <c r="F15" s="270">
        <f t="shared" si="1"/>
        <v>10</v>
      </c>
    </row>
    <row r="16" spans="1:8" x14ac:dyDescent="0.25">
      <c r="B16" s="267">
        <v>6</v>
      </c>
      <c r="C16" s="262">
        <f t="shared" si="0"/>
        <v>4</v>
      </c>
      <c r="D16" s="268" t="s">
        <v>342</v>
      </c>
      <c r="E16" s="269">
        <v>21890</v>
      </c>
      <c r="F16" s="270">
        <f t="shared" si="1"/>
        <v>4</v>
      </c>
    </row>
    <row r="17" spans="2:6" x14ac:dyDescent="0.25">
      <c r="B17" s="267">
        <v>7</v>
      </c>
      <c r="C17" s="262">
        <f t="shared" si="0"/>
        <v>9</v>
      </c>
      <c r="D17" s="268" t="s">
        <v>343</v>
      </c>
      <c r="E17" s="269">
        <v>16998</v>
      </c>
      <c r="F17" s="270">
        <f t="shared" si="1"/>
        <v>9</v>
      </c>
    </row>
    <row r="18" spans="2:6" x14ac:dyDescent="0.25">
      <c r="B18" s="267">
        <v>8</v>
      </c>
      <c r="C18" s="262">
        <f t="shared" si="0"/>
        <v>7</v>
      </c>
      <c r="D18" s="268" t="s">
        <v>344</v>
      </c>
      <c r="E18" s="269">
        <v>18750</v>
      </c>
      <c r="F18" s="270">
        <f t="shared" si="1"/>
        <v>7</v>
      </c>
    </row>
    <row r="19" spans="2:6" x14ac:dyDescent="0.25">
      <c r="B19" s="267">
        <v>9</v>
      </c>
      <c r="C19" s="262">
        <f t="shared" si="0"/>
        <v>2</v>
      </c>
      <c r="D19" s="268" t="s">
        <v>345</v>
      </c>
      <c r="E19" s="269">
        <v>22500</v>
      </c>
      <c r="F19" s="270">
        <f t="shared" si="1"/>
        <v>2</v>
      </c>
    </row>
    <row r="20" spans="2:6" x14ac:dyDescent="0.25">
      <c r="B20" s="267">
        <v>10</v>
      </c>
      <c r="C20" s="262">
        <f t="shared" si="0"/>
        <v>11</v>
      </c>
      <c r="D20" s="268" t="s">
        <v>346</v>
      </c>
      <c r="E20" s="269">
        <v>16570</v>
      </c>
      <c r="F20" s="270">
        <f t="shared" si="1"/>
        <v>11</v>
      </c>
    </row>
    <row r="21" spans="2:6" x14ac:dyDescent="0.25">
      <c r="B21" s="267">
        <v>11</v>
      </c>
      <c r="C21" s="262">
        <f t="shared" si="0"/>
        <v>12</v>
      </c>
      <c r="D21" s="268" t="s">
        <v>347</v>
      </c>
      <c r="E21" s="271">
        <v>12560</v>
      </c>
      <c r="F21" s="270">
        <f t="shared" si="1"/>
        <v>12</v>
      </c>
    </row>
    <row r="22" spans="2:6" x14ac:dyDescent="0.25">
      <c r="B22" s="267">
        <v>12</v>
      </c>
      <c r="C22" s="262">
        <f t="shared" si="0"/>
        <v>13</v>
      </c>
      <c r="D22" s="268" t="s">
        <v>348</v>
      </c>
      <c r="E22" s="269">
        <v>11250</v>
      </c>
      <c r="F22" s="270">
        <f t="shared" si="1"/>
        <v>13</v>
      </c>
    </row>
    <row r="23" spans="2:6" ht="15" customHeight="1" x14ac:dyDescent="0.25">
      <c r="B23" s="267">
        <v>13</v>
      </c>
      <c r="C23" s="262">
        <f t="shared" si="0"/>
        <v>5</v>
      </c>
      <c r="D23" s="268" t="s">
        <v>349</v>
      </c>
      <c r="E23" s="269">
        <v>19257</v>
      </c>
      <c r="F23" s="270">
        <f t="shared" si="1"/>
        <v>5</v>
      </c>
    </row>
    <row r="24" spans="2:6" ht="15" customHeight="1" x14ac:dyDescent="0.25">
      <c r="B24" s="267">
        <v>14</v>
      </c>
      <c r="C24" s="262">
        <f t="shared" si="0"/>
        <v>15</v>
      </c>
      <c r="D24" s="268" t="s">
        <v>350</v>
      </c>
      <c r="E24" s="269">
        <v>8575</v>
      </c>
      <c r="F24" s="270">
        <f t="shared" si="1"/>
        <v>15</v>
      </c>
    </row>
    <row r="25" spans="2:6" ht="15" customHeight="1" x14ac:dyDescent="0.25">
      <c r="B25" s="272">
        <v>15</v>
      </c>
      <c r="C25" s="273">
        <f t="shared" si="0"/>
        <v>14</v>
      </c>
      <c r="D25" s="274" t="s">
        <v>351</v>
      </c>
      <c r="E25" s="275">
        <v>9580</v>
      </c>
      <c r="F25" s="276">
        <f t="shared" si="1"/>
        <v>14</v>
      </c>
    </row>
    <row r="26" spans="2:6" ht="15" customHeight="1" x14ac:dyDescent="0.25">
      <c r="B26" s="277"/>
      <c r="C26" s="277"/>
      <c r="D26" s="278" t="s">
        <v>230</v>
      </c>
      <c r="E26" s="279">
        <f>SUM(E11:E25)</f>
        <v>268410</v>
      </c>
      <c r="F26" s="280"/>
    </row>
    <row r="27" spans="2:6" ht="19.5" customHeight="1" x14ac:dyDescent="0.25"/>
    <row r="28" spans="2:6" ht="16.5" customHeight="1" x14ac:dyDescent="0.25"/>
    <row r="29" spans="2:6" ht="18.75" customHeight="1" x14ac:dyDescent="0.25"/>
  </sheetData>
  <mergeCells count="5">
    <mergeCell ref="B3:E3"/>
    <mergeCell ref="B8:E8"/>
    <mergeCell ref="B9:B10"/>
    <mergeCell ref="C9:E9"/>
    <mergeCell ref="F9:F10"/>
  </mergeCells>
  <conditionalFormatting sqref="C11:C25">
    <cfRule type="cellIs" dxfId="4" priority="1" operator="equal">
      <formula>$F$8</formula>
    </cfRule>
    <cfRule type="cellIs" dxfId="3" priority="2" operator="equal">
      <formula>#REF!</formula>
    </cfRule>
  </conditionalFormatting>
  <pageMargins left="0.75" right="0.75" top="1" bottom="1" header="0.5" footer="0.5"/>
  <pageSetup paperSize="9" orientation="portrait" horizontalDpi="4294967293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Scroll Bar 1">
              <controlPr defaultSize="0" autoPict="0">
                <anchor moveWithCells="1">
                  <from>
                    <xdr:col>4</xdr:col>
                    <xdr:colOff>190500</xdr:colOff>
                    <xdr:row>6</xdr:row>
                    <xdr:rowOff>28575</xdr:rowOff>
                  </from>
                  <to>
                    <xdr:col>4</xdr:col>
                    <xdr:colOff>676275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Scroll Bar 2">
              <controlPr defaultSize="0" autoPict="0">
                <anchor moveWithCells="1">
                  <from>
                    <xdr:col>4</xdr:col>
                    <xdr:colOff>190500</xdr:colOff>
                    <xdr:row>6</xdr:row>
                    <xdr:rowOff>219075</xdr:rowOff>
                  </from>
                  <to>
                    <xdr:col>4</xdr:col>
                    <xdr:colOff>676275</xdr:colOff>
                    <xdr:row>7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1"/>
  <sheetViews>
    <sheetView showGridLines="0" workbookViewId="0">
      <selection activeCell="I12" sqref="I12"/>
    </sheetView>
  </sheetViews>
  <sheetFormatPr defaultRowHeight="15" x14ac:dyDescent="0.25"/>
  <cols>
    <col min="1" max="1" width="5.85546875" style="1" customWidth="1"/>
    <col min="2" max="2" width="9.28515625" style="1" customWidth="1"/>
    <col min="3" max="3" width="15.28515625" style="1" customWidth="1"/>
    <col min="4" max="4" width="24.28515625" style="1" customWidth="1"/>
    <col min="5" max="5" width="11.7109375" style="1" customWidth="1"/>
    <col min="6" max="6" width="16.42578125" style="1" customWidth="1"/>
    <col min="7" max="7" width="5" style="1" customWidth="1"/>
    <col min="8" max="8" width="15" style="1" customWidth="1"/>
    <col min="9" max="9" width="20" style="1" customWidth="1"/>
    <col min="10" max="10" width="10" style="1" customWidth="1"/>
    <col min="11" max="11" width="6.7109375" style="1" customWidth="1"/>
    <col min="12" max="12" width="5.85546875" style="1" customWidth="1"/>
    <col min="13" max="16384" width="9.140625" style="1"/>
  </cols>
  <sheetData>
    <row r="1" spans="2:12" ht="19.5" customHeight="1" x14ac:dyDescent="0.25"/>
    <row r="2" spans="2:12" ht="18.75" x14ac:dyDescent="0.25">
      <c r="B2" s="379" t="s">
        <v>352</v>
      </c>
      <c r="C2" s="379"/>
    </row>
    <row r="3" spans="2:12" ht="17.25" customHeight="1" x14ac:dyDescent="0.25">
      <c r="B3" s="317" t="s">
        <v>353</v>
      </c>
      <c r="C3" s="317"/>
      <c r="D3" s="317"/>
      <c r="E3" s="42"/>
      <c r="F3" s="42"/>
    </row>
    <row r="4" spans="2:12" x14ac:dyDescent="0.25">
      <c r="B4" s="6" t="s">
        <v>354</v>
      </c>
    </row>
    <row r="5" spans="2:12" ht="15.75" customHeight="1" thickBot="1" x14ac:dyDescent="0.3">
      <c r="B5" s="237" t="s">
        <v>355</v>
      </c>
      <c r="C5" s="35" t="s">
        <v>356</v>
      </c>
      <c r="D5" s="35" t="s">
        <v>78</v>
      </c>
      <c r="E5" s="35" t="s">
        <v>357</v>
      </c>
      <c r="F5" s="34" t="s">
        <v>339</v>
      </c>
      <c r="H5" s="281" t="s">
        <v>358</v>
      </c>
    </row>
    <row r="6" spans="2:12" ht="15.75" customHeight="1" x14ac:dyDescent="0.25">
      <c r="B6" s="282">
        <v>1</v>
      </c>
      <c r="C6" s="283" t="s">
        <v>359</v>
      </c>
      <c r="D6" s="284" t="s">
        <v>411</v>
      </c>
      <c r="E6" s="285">
        <v>98</v>
      </c>
      <c r="F6" s="286" t="s">
        <v>120</v>
      </c>
      <c r="H6" s="6" t="s">
        <v>360</v>
      </c>
    </row>
    <row r="7" spans="2:12" ht="15.75" customHeight="1" x14ac:dyDescent="0.25">
      <c r="B7" s="282">
        <v>2</v>
      </c>
      <c r="C7" s="283" t="s">
        <v>361</v>
      </c>
      <c r="D7" s="287" t="s">
        <v>362</v>
      </c>
      <c r="E7" s="285">
        <v>92</v>
      </c>
      <c r="F7" s="286" t="s">
        <v>120</v>
      </c>
    </row>
    <row r="8" spans="2:12" ht="15.75" customHeight="1" x14ac:dyDescent="0.25">
      <c r="B8" s="282">
        <v>3</v>
      </c>
      <c r="C8" s="283" t="s">
        <v>363</v>
      </c>
      <c r="D8" s="287" t="s">
        <v>412</v>
      </c>
      <c r="E8" s="285">
        <v>87.5</v>
      </c>
      <c r="F8" s="286" t="s">
        <v>364</v>
      </c>
      <c r="H8" s="281" t="s">
        <v>365</v>
      </c>
    </row>
    <row r="9" spans="2:12" ht="15.75" customHeight="1" x14ac:dyDescent="0.25">
      <c r="B9" s="282">
        <v>4</v>
      </c>
      <c r="C9" s="283" t="s">
        <v>366</v>
      </c>
      <c r="D9" s="287" t="s">
        <v>413</v>
      </c>
      <c r="E9" s="285">
        <v>85.4</v>
      </c>
      <c r="F9" s="286" t="s">
        <v>367</v>
      </c>
      <c r="H9" s="6" t="s">
        <v>368</v>
      </c>
    </row>
    <row r="10" spans="2:12" ht="15.75" customHeight="1" x14ac:dyDescent="0.25">
      <c r="B10" s="282">
        <v>5</v>
      </c>
      <c r="C10" s="283" t="s">
        <v>369</v>
      </c>
      <c r="D10" s="287" t="s">
        <v>370</v>
      </c>
      <c r="E10" s="285">
        <v>85</v>
      </c>
      <c r="F10" s="286" t="s">
        <v>116</v>
      </c>
      <c r="H10" s="6" t="s">
        <v>371</v>
      </c>
    </row>
    <row r="11" spans="2:12" ht="15.75" customHeight="1" x14ac:dyDescent="0.25">
      <c r="B11" s="282">
        <v>6</v>
      </c>
      <c r="C11" s="283" t="s">
        <v>372</v>
      </c>
      <c r="D11" s="287" t="s">
        <v>373</v>
      </c>
      <c r="E11" s="285">
        <v>82.5</v>
      </c>
      <c r="F11" s="286" t="s">
        <v>367</v>
      </c>
    </row>
    <row r="12" spans="2:12" ht="15.75" customHeight="1" x14ac:dyDescent="0.25">
      <c r="B12" s="282">
        <v>7</v>
      </c>
      <c r="C12" s="283" t="s">
        <v>374</v>
      </c>
      <c r="D12" s="287" t="s">
        <v>375</v>
      </c>
      <c r="E12" s="285">
        <v>79.8</v>
      </c>
      <c r="F12" s="286" t="s">
        <v>119</v>
      </c>
      <c r="H12" s="288" t="s">
        <v>78</v>
      </c>
      <c r="I12" s="289" t="str">
        <f>VLOOKUP(L12,B6:D20,3)</f>
        <v>Indah Purnawati</v>
      </c>
      <c r="J12" s="290" t="s">
        <v>376</v>
      </c>
      <c r="K12" s="291">
        <f>MATCH(I12,D6:D20,0)</f>
        <v>3</v>
      </c>
      <c r="L12" s="28">
        <v>3</v>
      </c>
    </row>
    <row r="13" spans="2:12" ht="15.75" customHeight="1" x14ac:dyDescent="0.25">
      <c r="B13" s="282">
        <v>8</v>
      </c>
      <c r="C13" s="283" t="s">
        <v>377</v>
      </c>
      <c r="D13" s="287" t="s">
        <v>378</v>
      </c>
      <c r="E13" s="285">
        <v>78.5</v>
      </c>
      <c r="F13" s="286" t="s">
        <v>119</v>
      </c>
      <c r="K13" s="123" t="str">
        <f ca="1">_xlfn.FORMULATEXT(K12)</f>
        <v>=MATCH(I12;D6:D20;0)</v>
      </c>
    </row>
    <row r="14" spans="2:12" ht="15.75" customHeight="1" x14ac:dyDescent="0.25">
      <c r="B14" s="282">
        <v>9</v>
      </c>
      <c r="C14" s="283" t="s">
        <v>379</v>
      </c>
      <c r="D14" s="287" t="s">
        <v>380</v>
      </c>
      <c r="E14" s="285">
        <v>78.099999999999994</v>
      </c>
      <c r="F14" s="286" t="s">
        <v>116</v>
      </c>
    </row>
    <row r="15" spans="2:12" ht="15.75" customHeight="1" x14ac:dyDescent="0.25">
      <c r="B15" s="282">
        <v>10</v>
      </c>
      <c r="C15" s="283" t="s">
        <v>381</v>
      </c>
      <c r="D15" s="287" t="s">
        <v>382</v>
      </c>
      <c r="E15" s="285">
        <v>78</v>
      </c>
      <c r="F15" s="286" t="s">
        <v>116</v>
      </c>
    </row>
    <row r="16" spans="2:12" ht="15.75" customHeight="1" x14ac:dyDescent="0.25">
      <c r="B16" s="282">
        <v>11</v>
      </c>
      <c r="C16" s="283" t="s">
        <v>383</v>
      </c>
      <c r="D16" s="287" t="s">
        <v>384</v>
      </c>
      <c r="E16" s="285">
        <v>72.400000000000006</v>
      </c>
      <c r="F16" s="286" t="s">
        <v>385</v>
      </c>
    </row>
    <row r="17" spans="2:6" ht="15.75" customHeight="1" x14ac:dyDescent="0.25">
      <c r="B17" s="282">
        <v>12</v>
      </c>
      <c r="C17" s="283" t="s">
        <v>386</v>
      </c>
      <c r="D17" s="287" t="s">
        <v>387</v>
      </c>
      <c r="E17" s="285">
        <v>69.900000000000006</v>
      </c>
      <c r="F17" s="286" t="s">
        <v>388</v>
      </c>
    </row>
    <row r="18" spans="2:6" ht="15.75" customHeight="1" x14ac:dyDescent="0.25">
      <c r="B18" s="282">
        <v>13</v>
      </c>
      <c r="C18" s="283" t="s">
        <v>389</v>
      </c>
      <c r="D18" s="287" t="s">
        <v>390</v>
      </c>
      <c r="E18" s="285">
        <v>68.900000000000006</v>
      </c>
      <c r="F18" s="286" t="s">
        <v>364</v>
      </c>
    </row>
    <row r="19" spans="2:6" ht="15.75" customHeight="1" x14ac:dyDescent="0.25">
      <c r="B19" s="282">
        <v>14</v>
      </c>
      <c r="C19" s="283" t="s">
        <v>391</v>
      </c>
      <c r="D19" s="287" t="s">
        <v>392</v>
      </c>
      <c r="E19" s="285">
        <v>66.7</v>
      </c>
      <c r="F19" s="286" t="s">
        <v>114</v>
      </c>
    </row>
    <row r="20" spans="2:6" ht="15.75" customHeight="1" thickBot="1" x14ac:dyDescent="0.3">
      <c r="B20" s="282">
        <v>15</v>
      </c>
      <c r="C20" s="283" t="s">
        <v>393</v>
      </c>
      <c r="D20" s="292" t="s">
        <v>394</v>
      </c>
      <c r="E20" s="285">
        <v>66</v>
      </c>
      <c r="F20" s="286" t="s">
        <v>364</v>
      </c>
    </row>
    <row r="21" spans="2:6" ht="19.5" customHeight="1" x14ac:dyDescent="0.25"/>
  </sheetData>
  <mergeCells count="2">
    <mergeCell ref="B2:C2"/>
    <mergeCell ref="B3:D3"/>
  </mergeCells>
  <conditionalFormatting sqref="D6:D20">
    <cfRule type="cellIs" dxfId="2" priority="1" operator="equal">
      <formula>$I$12</formula>
    </cfRule>
  </conditionalFormatting>
  <pageMargins left="0.75" right="0.75" top="1" bottom="1" header="0.5" footer="0.5"/>
  <pageSetup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Scroll Bar 1">
              <controlPr defaultSize="0" autoPict="0">
                <anchor moveWithCells="1">
                  <from>
                    <xdr:col>7</xdr:col>
                    <xdr:colOff>428625</xdr:colOff>
                    <xdr:row>11</xdr:row>
                    <xdr:rowOff>19050</xdr:rowOff>
                  </from>
                  <to>
                    <xdr:col>7</xdr:col>
                    <xdr:colOff>914400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30"/>
  <sheetViews>
    <sheetView showGridLines="0" zoomScaleNormal="100" workbookViewId="0">
      <selection activeCell="K7" sqref="K7"/>
    </sheetView>
  </sheetViews>
  <sheetFormatPr defaultRowHeight="15" x14ac:dyDescent="0.25"/>
  <cols>
    <col min="1" max="1" width="5.85546875" style="293" customWidth="1"/>
    <col min="2" max="2" width="13" style="293" customWidth="1"/>
    <col min="3" max="8" width="10" style="293" customWidth="1"/>
    <col min="9" max="9" width="5.42578125" style="293" customWidth="1"/>
    <col min="10" max="10" width="16.140625" style="293" customWidth="1"/>
    <col min="11" max="11" width="12.85546875" style="293" customWidth="1"/>
    <col min="12" max="12" width="20" style="293" customWidth="1"/>
    <col min="13" max="13" width="5.85546875" style="293" customWidth="1"/>
    <col min="14" max="16384" width="9.140625" style="293"/>
  </cols>
  <sheetData>
    <row r="1" spans="2:12" ht="19.5" customHeight="1" x14ac:dyDescent="0.25"/>
    <row r="2" spans="2:12" ht="18.75" x14ac:dyDescent="0.3">
      <c r="B2" s="294" t="s">
        <v>395</v>
      </c>
    </row>
    <row r="3" spans="2:12" ht="17.25" customHeight="1" x14ac:dyDescent="0.25">
      <c r="B3" s="380" t="s">
        <v>396</v>
      </c>
      <c r="C3" s="380"/>
      <c r="D3" s="380"/>
      <c r="E3" s="380"/>
      <c r="F3" s="60"/>
      <c r="G3" s="60"/>
    </row>
    <row r="4" spans="2:12" ht="16.5" customHeight="1" x14ac:dyDescent="0.25">
      <c r="B4" s="295" t="s">
        <v>397</v>
      </c>
      <c r="C4" s="296"/>
      <c r="D4" s="296"/>
      <c r="E4" s="296"/>
      <c r="F4" s="296"/>
      <c r="G4" s="296"/>
    </row>
    <row r="5" spans="2:12" ht="18.75" customHeight="1" x14ac:dyDescent="0.25">
      <c r="B5" s="297" t="s">
        <v>73</v>
      </c>
      <c r="C5" s="298"/>
      <c r="D5" s="298"/>
      <c r="E5" s="298"/>
      <c r="F5" s="298"/>
      <c r="G5" s="298"/>
      <c r="J5" s="299" t="s">
        <v>19</v>
      </c>
    </row>
    <row r="6" spans="2:12" ht="17.25" customHeight="1" x14ac:dyDescent="0.25">
      <c r="B6" s="381">
        <f ca="1">TODAY()</f>
        <v>43614</v>
      </c>
      <c r="C6" s="381"/>
      <c r="D6" s="381"/>
      <c r="E6" s="381"/>
      <c r="F6" s="381"/>
      <c r="G6" s="381"/>
      <c r="H6" s="381"/>
      <c r="J6" s="300" t="s">
        <v>398</v>
      </c>
      <c r="K6" s="301">
        <v>4</v>
      </c>
      <c r="L6" s="302" t="s">
        <v>399</v>
      </c>
    </row>
    <row r="7" spans="2:12" ht="14.25" customHeight="1" x14ac:dyDescent="0.25">
      <c r="B7" s="303" t="s">
        <v>400</v>
      </c>
      <c r="C7" s="304" t="s">
        <v>401</v>
      </c>
      <c r="D7" s="304" t="s">
        <v>402</v>
      </c>
      <c r="E7" s="304" t="s">
        <v>403</v>
      </c>
      <c r="F7" s="304" t="s">
        <v>404</v>
      </c>
      <c r="G7" s="304" t="s">
        <v>7</v>
      </c>
      <c r="H7" s="303" t="s">
        <v>405</v>
      </c>
      <c r="J7" s="305" t="str">
        <f t="shared" ref="J7:J12" si="0">B7</f>
        <v>Tujuan</v>
      </c>
      <c r="K7" s="306" t="str">
        <f ca="1">OFFSET(B7,0,K$6,1,1)</f>
        <v>Apr</v>
      </c>
      <c r="L7" s="307" t="str">
        <f ca="1">_xlfn.FORMULATEXT(K7)</f>
        <v>=OFFSET(B7;0;K$6;1;1)</v>
      </c>
    </row>
    <row r="8" spans="2:12" ht="16.5" customHeight="1" x14ac:dyDescent="0.25">
      <c r="B8" s="308" t="s">
        <v>406</v>
      </c>
      <c r="C8" s="309">
        <v>8500</v>
      </c>
      <c r="D8" s="309">
        <v>9800</v>
      </c>
      <c r="E8" s="309">
        <v>7250</v>
      </c>
      <c r="F8" s="309">
        <v>8150</v>
      </c>
      <c r="G8" s="309">
        <v>9250</v>
      </c>
      <c r="H8" s="310">
        <v>9800</v>
      </c>
      <c r="J8" s="308" t="str">
        <f t="shared" si="0"/>
        <v>Australia</v>
      </c>
      <c r="K8" s="310">
        <f t="shared" ref="K8:K12" ca="1" si="1">OFFSET(B8,0,K$6,1,1)</f>
        <v>8150</v>
      </c>
    </row>
    <row r="9" spans="2:12" ht="16.5" customHeight="1" x14ac:dyDescent="0.25">
      <c r="B9" s="308" t="s">
        <v>407</v>
      </c>
      <c r="C9" s="309">
        <v>11750</v>
      </c>
      <c r="D9" s="309">
        <v>12500</v>
      </c>
      <c r="E9" s="309">
        <v>13250</v>
      </c>
      <c r="F9" s="309">
        <v>15800</v>
      </c>
      <c r="G9" s="309">
        <v>13750</v>
      </c>
      <c r="H9" s="310">
        <v>12500</v>
      </c>
      <c r="J9" s="308" t="str">
        <f t="shared" si="0"/>
        <v>Jepang</v>
      </c>
      <c r="K9" s="310">
        <f t="shared" ca="1" si="1"/>
        <v>15800</v>
      </c>
    </row>
    <row r="10" spans="2:12" ht="16.5" customHeight="1" x14ac:dyDescent="0.25">
      <c r="B10" s="308" t="s">
        <v>408</v>
      </c>
      <c r="C10" s="309">
        <v>18500</v>
      </c>
      <c r="D10" s="309">
        <v>17500</v>
      </c>
      <c r="E10" s="309">
        <v>16250</v>
      </c>
      <c r="F10" s="309">
        <v>18500</v>
      </c>
      <c r="G10" s="309">
        <v>18100</v>
      </c>
      <c r="H10" s="310">
        <v>17500</v>
      </c>
      <c r="J10" s="308" t="str">
        <f t="shared" si="0"/>
        <v>Eropa</v>
      </c>
      <c r="K10" s="310">
        <f t="shared" ca="1" si="1"/>
        <v>18500</v>
      </c>
    </row>
    <row r="11" spans="2:12" ht="16.5" customHeight="1" x14ac:dyDescent="0.25">
      <c r="B11" s="308" t="s">
        <v>409</v>
      </c>
      <c r="C11" s="309">
        <v>9500</v>
      </c>
      <c r="D11" s="309">
        <v>10875</v>
      </c>
      <c r="E11" s="309">
        <v>9750</v>
      </c>
      <c r="F11" s="309">
        <v>10250</v>
      </c>
      <c r="G11" s="309">
        <v>11000</v>
      </c>
      <c r="H11" s="310">
        <v>10875</v>
      </c>
      <c r="J11" s="308" t="str">
        <f t="shared" si="0"/>
        <v>Afrika</v>
      </c>
      <c r="K11" s="310">
        <f t="shared" ca="1" si="1"/>
        <v>10250</v>
      </c>
    </row>
    <row r="12" spans="2:12" ht="16.5" customHeight="1" x14ac:dyDescent="0.25">
      <c r="B12" s="308" t="s">
        <v>410</v>
      </c>
      <c r="C12" s="309">
        <v>17500</v>
      </c>
      <c r="D12" s="309">
        <v>19500</v>
      </c>
      <c r="E12" s="309">
        <v>19750</v>
      </c>
      <c r="F12" s="309">
        <v>21500</v>
      </c>
      <c r="G12" s="309">
        <v>20800</v>
      </c>
      <c r="H12" s="310">
        <v>19500</v>
      </c>
      <c r="J12" s="308" t="str">
        <f t="shared" si="0"/>
        <v>Amerika</v>
      </c>
      <c r="K12" s="310">
        <f t="shared" ca="1" si="1"/>
        <v>21500</v>
      </c>
    </row>
    <row r="13" spans="2:12" ht="16.5" customHeight="1" x14ac:dyDescent="0.25">
      <c r="J13" s="296"/>
      <c r="K13" s="311"/>
      <c r="L13" s="298"/>
    </row>
    <row r="14" spans="2:12" ht="16.5" customHeight="1" x14ac:dyDescent="0.25">
      <c r="J14" s="296"/>
      <c r="K14" s="296"/>
    </row>
    <row r="15" spans="2:12" ht="16.5" customHeight="1" x14ac:dyDescent="0.25">
      <c r="J15" s="382"/>
      <c r="K15" s="382"/>
    </row>
    <row r="16" spans="2:12" ht="16.5" customHeight="1" x14ac:dyDescent="0.25">
      <c r="J16" s="312"/>
      <c r="K16" s="312"/>
    </row>
    <row r="17" spans="10:11" ht="16.5" customHeight="1" x14ac:dyDescent="0.25">
      <c r="J17" s="313"/>
      <c r="K17" s="314"/>
    </row>
    <row r="18" spans="10:11" ht="16.5" customHeight="1" x14ac:dyDescent="0.25">
      <c r="J18" s="313"/>
      <c r="K18" s="314"/>
    </row>
    <row r="19" spans="10:11" ht="16.5" customHeight="1" x14ac:dyDescent="0.25">
      <c r="J19" s="313"/>
      <c r="K19" s="314"/>
    </row>
    <row r="20" spans="10:11" ht="16.5" customHeight="1" x14ac:dyDescent="0.25">
      <c r="J20" s="313"/>
      <c r="K20" s="314"/>
    </row>
    <row r="21" spans="10:11" ht="16.5" customHeight="1" x14ac:dyDescent="0.25">
      <c r="J21" s="313"/>
      <c r="K21" s="314"/>
    </row>
    <row r="22" spans="10:11" ht="14.25" customHeight="1" x14ac:dyDescent="0.25"/>
    <row r="23" spans="10:11" ht="14.25" customHeight="1" x14ac:dyDescent="0.25"/>
    <row r="24" spans="10:11" ht="14.25" customHeight="1" x14ac:dyDescent="0.25"/>
    <row r="25" spans="10:11" ht="18.75" customHeight="1" x14ac:dyDescent="0.25"/>
    <row r="30" spans="10:11" ht="19.5" customHeight="1" x14ac:dyDescent="0.25"/>
  </sheetData>
  <mergeCells count="3">
    <mergeCell ref="B3:E3"/>
    <mergeCell ref="B6:H6"/>
    <mergeCell ref="J15:K15"/>
  </mergeCells>
  <conditionalFormatting sqref="C7:H7">
    <cfRule type="cellIs" dxfId="1" priority="1" operator="equal">
      <formula>$K$7</formula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Scroll Bar 1">
              <controlPr defaultSize="0" autoPict="0">
                <anchor moveWithCells="1">
                  <from>
                    <xdr:col>9</xdr:col>
                    <xdr:colOff>523875</xdr:colOff>
                    <xdr:row>5</xdr:row>
                    <xdr:rowOff>19050</xdr:rowOff>
                  </from>
                  <to>
                    <xdr:col>9</xdr:col>
                    <xdr:colOff>1009650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3"/>
  <sheetViews>
    <sheetView showGridLines="0" workbookViewId="0">
      <selection activeCell="E9" sqref="E9"/>
    </sheetView>
  </sheetViews>
  <sheetFormatPr defaultRowHeight="15" customHeight="1" x14ac:dyDescent="0.25"/>
  <cols>
    <col min="1" max="1" width="5.85546875" style="1" customWidth="1"/>
    <col min="2" max="2" width="7" style="1" customWidth="1"/>
    <col min="3" max="8" width="9.5703125" style="1" customWidth="1"/>
    <col min="9" max="9" width="18.140625" style="1" customWidth="1"/>
    <col min="10" max="10" width="5.85546875" style="1" customWidth="1"/>
    <col min="11" max="16384" width="9.140625" style="1"/>
  </cols>
  <sheetData>
    <row r="1" spans="1:14" ht="19.5" customHeight="1" x14ac:dyDescent="0.25">
      <c r="A1" s="1" t="s">
        <v>288</v>
      </c>
    </row>
    <row r="2" spans="1:14" ht="19.5" customHeight="1" x14ac:dyDescent="0.25">
      <c r="B2" s="345" t="s">
        <v>289</v>
      </c>
      <c r="C2" s="345"/>
      <c r="D2" s="345"/>
      <c r="E2" s="345"/>
      <c r="F2" s="345"/>
    </row>
    <row r="3" spans="1:14" ht="15" customHeight="1" x14ac:dyDescent="0.25">
      <c r="B3" s="339" t="s">
        <v>290</v>
      </c>
      <c r="C3" s="339"/>
      <c r="D3" s="339"/>
      <c r="E3" s="339"/>
      <c r="F3" s="206"/>
    </row>
    <row r="4" spans="1:14" ht="15" customHeight="1" x14ac:dyDescent="0.25">
      <c r="B4" s="6" t="s">
        <v>291</v>
      </c>
      <c r="C4" s="206"/>
      <c r="D4" s="206"/>
      <c r="E4" s="206"/>
      <c r="F4" s="206"/>
    </row>
    <row r="5" spans="1:14" ht="15" customHeight="1" x14ac:dyDescent="0.25">
      <c r="B5" s="207" t="s">
        <v>292</v>
      </c>
      <c r="C5" s="206"/>
      <c r="D5" s="206"/>
      <c r="E5" s="206"/>
      <c r="F5" s="206"/>
    </row>
    <row r="6" spans="1:14" ht="6.75" customHeight="1" x14ac:dyDescent="0.25">
      <c r="B6" s="206"/>
      <c r="C6" s="206"/>
      <c r="D6" s="206"/>
      <c r="E6" s="206"/>
      <c r="F6" s="206"/>
    </row>
    <row r="7" spans="1:14" s="205" customFormat="1" ht="15" customHeight="1" x14ac:dyDescent="0.25">
      <c r="B7" s="208" t="s">
        <v>233</v>
      </c>
      <c r="C7" s="384" t="s">
        <v>293</v>
      </c>
      <c r="D7" s="385"/>
      <c r="E7" s="209">
        <f>VLOOKUP(F7,M12:N17,2)</f>
        <v>0.05</v>
      </c>
      <c r="F7" s="210">
        <v>4</v>
      </c>
      <c r="G7" s="211"/>
      <c r="H7" s="211"/>
      <c r="I7" s="1"/>
      <c r="J7" s="1"/>
      <c r="K7" s="1"/>
      <c r="L7" s="1"/>
      <c r="M7" s="1"/>
      <c r="N7" s="1"/>
    </row>
    <row r="8" spans="1:14" s="205" customFormat="1" ht="17.25" customHeight="1" x14ac:dyDescent="0.25">
      <c r="B8" s="212"/>
      <c r="C8" s="386" t="s">
        <v>294</v>
      </c>
      <c r="D8" s="386"/>
      <c r="E8" s="213">
        <v>48</v>
      </c>
      <c r="F8" s="214"/>
      <c r="G8" s="211"/>
      <c r="H8" s="211"/>
    </row>
    <row r="9" spans="1:14" s="205" customFormat="1" ht="15" customHeight="1" x14ac:dyDescent="0.25">
      <c r="B9" s="387" t="s">
        <v>19</v>
      </c>
      <c r="C9" s="387"/>
      <c r="D9" s="388"/>
      <c r="E9" s="215">
        <f>INDEX(B12:H62,MATCH(E8,B12:B62,),MATCH(E7,B12:H12))</f>
        <v>65.170768903569837</v>
      </c>
      <c r="F9" s="211"/>
      <c r="G9" s="211"/>
      <c r="H9" s="211"/>
    </row>
    <row r="10" spans="1:14" ht="6.75" customHeight="1" x14ac:dyDescent="0.25"/>
    <row r="11" spans="1:14" ht="15" customHeight="1" x14ac:dyDescent="0.25">
      <c r="B11" s="216"/>
      <c r="C11" s="383" t="s">
        <v>293</v>
      </c>
      <c r="D11" s="340"/>
      <c r="E11" s="340"/>
      <c r="F11" s="340"/>
      <c r="G11" s="340"/>
      <c r="H11" s="340"/>
    </row>
    <row r="12" spans="1:14" ht="15" customHeight="1" thickBot="1" x14ac:dyDescent="0.3">
      <c r="B12" s="217" t="s">
        <v>294</v>
      </c>
      <c r="C12" s="218">
        <v>5.0000000000000001E-3</v>
      </c>
      <c r="D12" s="219">
        <v>0.01</v>
      </c>
      <c r="E12" s="219">
        <v>2.5000000000000001E-2</v>
      </c>
      <c r="F12" s="219">
        <v>0.05</v>
      </c>
      <c r="G12" s="220">
        <v>0.1</v>
      </c>
      <c r="H12" s="221">
        <v>0.25</v>
      </c>
      <c r="M12" s="1">
        <v>1</v>
      </c>
      <c r="N12" s="1">
        <f>C12</f>
        <v>5.0000000000000001E-3</v>
      </c>
    </row>
    <row r="13" spans="1:14" ht="15" customHeight="1" x14ac:dyDescent="0.25">
      <c r="B13" s="222">
        <v>1</v>
      </c>
      <c r="C13" s="223">
        <f>CHIINV(C$12,$B13)</f>
        <v>7.8794385766224124</v>
      </c>
      <c r="D13" s="223">
        <f>CHIINV(D$12,$B13)</f>
        <v>6.6348966010212118</v>
      </c>
      <c r="E13" s="223">
        <f t="shared" ref="E13:H28" si="0">CHIINV(E$12,$B13)</f>
        <v>5.0238861873148863</v>
      </c>
      <c r="F13" s="223">
        <f t="shared" si="0"/>
        <v>3.8414588206941236</v>
      </c>
      <c r="G13" s="223">
        <f t="shared" si="0"/>
        <v>2.7055434540954142</v>
      </c>
      <c r="H13" s="224">
        <f>CHIINV(H$12,$B13)</f>
        <v>1.3233036969314662</v>
      </c>
      <c r="I13" s="41" t="str">
        <f ca="1">_xlfn.FORMULATEXT(H13)</f>
        <v>=CHIINV(H$12;$B13)</v>
      </c>
      <c r="M13" s="1">
        <v>2</v>
      </c>
      <c r="N13" s="1">
        <f>D12</f>
        <v>0.01</v>
      </c>
    </row>
    <row r="14" spans="1:14" x14ac:dyDescent="0.25">
      <c r="B14" s="225">
        <v>2</v>
      </c>
      <c r="C14" s="223">
        <f t="shared" ref="C14:H45" si="1">CHIINV(C$12,$B14)</f>
        <v>10.596634733096073</v>
      </c>
      <c r="D14" s="223">
        <f t="shared" si="1"/>
        <v>9.2103403719761818</v>
      </c>
      <c r="E14" s="223">
        <f t="shared" si="0"/>
        <v>7.3777589082278725</v>
      </c>
      <c r="F14" s="223">
        <f t="shared" si="0"/>
        <v>5.9914645471079817</v>
      </c>
      <c r="G14" s="223">
        <f t="shared" si="0"/>
        <v>4.6051701859880909</v>
      </c>
      <c r="H14" s="223">
        <f t="shared" si="0"/>
        <v>2.7725887222397811</v>
      </c>
      <c r="M14" s="1">
        <v>3</v>
      </c>
      <c r="N14" s="1">
        <f>E12</f>
        <v>2.5000000000000001E-2</v>
      </c>
    </row>
    <row r="15" spans="1:14" x14ac:dyDescent="0.25">
      <c r="B15" s="225">
        <v>3</v>
      </c>
      <c r="C15" s="223">
        <f t="shared" si="1"/>
        <v>12.838156466598651</v>
      </c>
      <c r="D15" s="223">
        <f t="shared" si="1"/>
        <v>11.344866730144371</v>
      </c>
      <c r="E15" s="223">
        <f t="shared" si="0"/>
        <v>9.3484036044961485</v>
      </c>
      <c r="F15" s="223">
        <f t="shared" si="0"/>
        <v>7.8147279032511792</v>
      </c>
      <c r="G15" s="223">
        <f t="shared" si="0"/>
        <v>6.2513886311703235</v>
      </c>
      <c r="H15" s="223">
        <f t="shared" si="0"/>
        <v>4.1083449356323172</v>
      </c>
      <c r="M15" s="1">
        <v>4</v>
      </c>
      <c r="N15" s="1">
        <f>F12</f>
        <v>0.05</v>
      </c>
    </row>
    <row r="16" spans="1:14" x14ac:dyDescent="0.25">
      <c r="B16" s="225">
        <v>4</v>
      </c>
      <c r="C16" s="223">
        <f t="shared" si="1"/>
        <v>14.860259000560244</v>
      </c>
      <c r="D16" s="223">
        <f t="shared" si="1"/>
        <v>13.276704135987623</v>
      </c>
      <c r="E16" s="223">
        <f t="shared" si="0"/>
        <v>11.143286781877798</v>
      </c>
      <c r="F16" s="223">
        <f t="shared" si="0"/>
        <v>9.4877290367811575</v>
      </c>
      <c r="G16" s="223">
        <f t="shared" si="0"/>
        <v>7.7794403397348582</v>
      </c>
      <c r="H16" s="223">
        <f t="shared" si="0"/>
        <v>5.385269057779392</v>
      </c>
      <c r="M16" s="1">
        <v>5</v>
      </c>
      <c r="N16" s="1">
        <f>G12</f>
        <v>0.1</v>
      </c>
    </row>
    <row r="17" spans="2:14" x14ac:dyDescent="0.25">
      <c r="B17" s="225">
        <v>5</v>
      </c>
      <c r="C17" s="223">
        <f t="shared" si="1"/>
        <v>16.749602343639044</v>
      </c>
      <c r="D17" s="223">
        <f t="shared" si="1"/>
        <v>15.086272469388991</v>
      </c>
      <c r="E17" s="223">
        <f t="shared" si="0"/>
        <v>12.832501994030029</v>
      </c>
      <c r="F17" s="223">
        <f t="shared" si="0"/>
        <v>11.070497693516353</v>
      </c>
      <c r="G17" s="223">
        <f t="shared" si="0"/>
        <v>9.2363568997811178</v>
      </c>
      <c r="H17" s="223">
        <f t="shared" si="0"/>
        <v>6.6256797638292504</v>
      </c>
      <c r="M17" s="1">
        <v>6</v>
      </c>
      <c r="N17" s="1">
        <f>H12</f>
        <v>0.25</v>
      </c>
    </row>
    <row r="18" spans="2:14" x14ac:dyDescent="0.25">
      <c r="B18" s="225">
        <v>6</v>
      </c>
      <c r="C18" s="223">
        <f t="shared" si="1"/>
        <v>18.547584178511091</v>
      </c>
      <c r="D18" s="223">
        <f t="shared" si="1"/>
        <v>16.811893829770931</v>
      </c>
      <c r="E18" s="223">
        <f t="shared" si="0"/>
        <v>14.449375335447922</v>
      </c>
      <c r="F18" s="223">
        <f t="shared" si="0"/>
        <v>12.591587243743978</v>
      </c>
      <c r="G18" s="223">
        <f t="shared" si="0"/>
        <v>10.64464067566842</v>
      </c>
      <c r="H18" s="223">
        <f t="shared" si="0"/>
        <v>7.8408041205851209</v>
      </c>
    </row>
    <row r="19" spans="2:14" x14ac:dyDescent="0.25">
      <c r="B19" s="225">
        <v>7</v>
      </c>
      <c r="C19" s="223">
        <f t="shared" si="1"/>
        <v>20.277739874962624</v>
      </c>
      <c r="D19" s="223">
        <f t="shared" si="1"/>
        <v>18.475306906582361</v>
      </c>
      <c r="E19" s="223">
        <f t="shared" si="0"/>
        <v>16.012764274629326</v>
      </c>
      <c r="F19" s="223">
        <f t="shared" si="0"/>
        <v>14.067140449340167</v>
      </c>
      <c r="G19" s="223">
        <f t="shared" si="0"/>
        <v>12.01703662378053</v>
      </c>
      <c r="H19" s="223">
        <f t="shared" si="0"/>
        <v>9.0371475479081411</v>
      </c>
    </row>
    <row r="20" spans="2:14" x14ac:dyDescent="0.25">
      <c r="B20" s="225">
        <v>8</v>
      </c>
      <c r="C20" s="223">
        <f t="shared" si="1"/>
        <v>21.95495499065953</v>
      </c>
      <c r="D20" s="223">
        <f t="shared" si="1"/>
        <v>20.090235029663233</v>
      </c>
      <c r="E20" s="223">
        <f t="shared" si="0"/>
        <v>17.53454613948465</v>
      </c>
      <c r="F20" s="223">
        <f t="shared" si="0"/>
        <v>15.507313055865453</v>
      </c>
      <c r="G20" s="223">
        <f t="shared" si="0"/>
        <v>13.361566136511726</v>
      </c>
      <c r="H20" s="223">
        <f t="shared" si="0"/>
        <v>10.21885497024676</v>
      </c>
    </row>
    <row r="21" spans="2:14" x14ac:dyDescent="0.25">
      <c r="B21" s="225">
        <v>9</v>
      </c>
      <c r="C21" s="223">
        <f t="shared" si="1"/>
        <v>23.589350781257387</v>
      </c>
      <c r="D21" s="223">
        <f t="shared" si="1"/>
        <v>21.665994333461931</v>
      </c>
      <c r="E21" s="223">
        <f t="shared" si="0"/>
        <v>19.022767798641635</v>
      </c>
      <c r="F21" s="223">
        <f t="shared" si="0"/>
        <v>16.918977604620451</v>
      </c>
      <c r="G21" s="223">
        <f t="shared" si="0"/>
        <v>14.683656573259835</v>
      </c>
      <c r="H21" s="223">
        <f t="shared" si="0"/>
        <v>11.38875144047037</v>
      </c>
    </row>
    <row r="22" spans="2:14" x14ac:dyDescent="0.25">
      <c r="B22" s="225">
        <v>10</v>
      </c>
      <c r="C22" s="223">
        <f t="shared" si="1"/>
        <v>25.188179571971173</v>
      </c>
      <c r="D22" s="223">
        <f t="shared" si="1"/>
        <v>23.209251158954359</v>
      </c>
      <c r="E22" s="223">
        <f t="shared" si="0"/>
        <v>20.483177350807395</v>
      </c>
      <c r="F22" s="223">
        <f t="shared" si="0"/>
        <v>18.307038053275146</v>
      </c>
      <c r="G22" s="223">
        <f t="shared" si="0"/>
        <v>15.987179172105261</v>
      </c>
      <c r="H22" s="223">
        <f t="shared" si="0"/>
        <v>12.548861396889377</v>
      </c>
    </row>
    <row r="23" spans="2:14" x14ac:dyDescent="0.25">
      <c r="B23" s="225">
        <v>11</v>
      </c>
      <c r="C23" s="223">
        <f t="shared" si="1"/>
        <v>26.756848916469632</v>
      </c>
      <c r="D23" s="223">
        <f t="shared" si="1"/>
        <v>24.724970311318284</v>
      </c>
      <c r="E23" s="223">
        <f t="shared" si="0"/>
        <v>21.920049261021205</v>
      </c>
      <c r="F23" s="223">
        <f t="shared" si="0"/>
        <v>19.675137572682498</v>
      </c>
      <c r="G23" s="223">
        <f t="shared" si="0"/>
        <v>17.275008517500069</v>
      </c>
      <c r="H23" s="223">
        <f t="shared" si="0"/>
        <v>13.70069274601151</v>
      </c>
    </row>
    <row r="24" spans="2:14" x14ac:dyDescent="0.25">
      <c r="B24" s="225">
        <v>12</v>
      </c>
      <c r="C24" s="223">
        <f t="shared" si="1"/>
        <v>28.299518822046032</v>
      </c>
      <c r="D24" s="223">
        <f t="shared" si="1"/>
        <v>26.216967305535849</v>
      </c>
      <c r="E24" s="223">
        <f t="shared" si="0"/>
        <v>23.336664158645338</v>
      </c>
      <c r="F24" s="223">
        <f t="shared" si="0"/>
        <v>21.026069817483066</v>
      </c>
      <c r="G24" s="223">
        <f t="shared" si="0"/>
        <v>18.549347786703244</v>
      </c>
      <c r="H24" s="223">
        <f t="shared" si="0"/>
        <v>14.845403671040177</v>
      </c>
    </row>
    <row r="25" spans="2:14" x14ac:dyDescent="0.25">
      <c r="B25" s="225">
        <v>13</v>
      </c>
      <c r="C25" s="223">
        <f t="shared" si="1"/>
        <v>29.819471223653217</v>
      </c>
      <c r="D25" s="223">
        <f t="shared" si="1"/>
        <v>27.688249610457049</v>
      </c>
      <c r="E25" s="223">
        <f t="shared" si="0"/>
        <v>24.73560488493154</v>
      </c>
      <c r="F25" s="223">
        <f t="shared" si="0"/>
        <v>22.362032494826938</v>
      </c>
      <c r="G25" s="223">
        <f t="shared" si="0"/>
        <v>19.81192930712756</v>
      </c>
      <c r="H25" s="223">
        <f t="shared" si="0"/>
        <v>15.983906216312054</v>
      </c>
    </row>
    <row r="26" spans="2:14" x14ac:dyDescent="0.25">
      <c r="B26" s="225">
        <v>14</v>
      </c>
      <c r="C26" s="223">
        <f t="shared" si="1"/>
        <v>31.31934962259529</v>
      </c>
      <c r="D26" s="223">
        <f t="shared" si="1"/>
        <v>29.141237740672796</v>
      </c>
      <c r="E26" s="223">
        <f t="shared" si="0"/>
        <v>26.118948045037371</v>
      </c>
      <c r="F26" s="223">
        <f t="shared" si="0"/>
        <v>23.68479130484058</v>
      </c>
      <c r="G26" s="223">
        <f t="shared" si="0"/>
        <v>21.064144212997057</v>
      </c>
      <c r="H26" s="223">
        <f t="shared" si="0"/>
        <v>17.116933596000067</v>
      </c>
    </row>
    <row r="27" spans="2:14" x14ac:dyDescent="0.25">
      <c r="B27" s="225">
        <v>15</v>
      </c>
      <c r="C27" s="223">
        <f t="shared" si="1"/>
        <v>32.80132064579184</v>
      </c>
      <c r="D27" s="223">
        <f t="shared" si="1"/>
        <v>30.577914166892494</v>
      </c>
      <c r="E27" s="223">
        <f t="shared" si="0"/>
        <v>27.488392863442982</v>
      </c>
      <c r="F27" s="223">
        <f t="shared" si="0"/>
        <v>24.99579013972863</v>
      </c>
      <c r="G27" s="223">
        <f t="shared" si="0"/>
        <v>22.307129581578689</v>
      </c>
      <c r="H27" s="223">
        <f t="shared" si="0"/>
        <v>18.245085602415134</v>
      </c>
    </row>
    <row r="28" spans="2:14" x14ac:dyDescent="0.25">
      <c r="B28" s="225">
        <v>16</v>
      </c>
      <c r="C28" s="223">
        <f t="shared" si="1"/>
        <v>34.267186537826703</v>
      </c>
      <c r="D28" s="223">
        <f t="shared" si="1"/>
        <v>31.999926908815183</v>
      </c>
      <c r="E28" s="223">
        <f t="shared" si="0"/>
        <v>28.84535072340476</v>
      </c>
      <c r="F28" s="223">
        <f t="shared" si="0"/>
        <v>26.296227604864239</v>
      </c>
      <c r="G28" s="223">
        <f t="shared" si="0"/>
        <v>23.541828923096112</v>
      </c>
      <c r="H28" s="223">
        <f t="shared" si="0"/>
        <v>19.368860220584512</v>
      </c>
    </row>
    <row r="29" spans="2:14" x14ac:dyDescent="0.25">
      <c r="B29" s="225">
        <v>17</v>
      </c>
      <c r="C29" s="223">
        <f t="shared" si="1"/>
        <v>35.7184656590046</v>
      </c>
      <c r="D29" s="223">
        <f t="shared" si="1"/>
        <v>33.408663605004612</v>
      </c>
      <c r="E29" s="223">
        <f t="shared" si="1"/>
        <v>30.191009121639812</v>
      </c>
      <c r="F29" s="223">
        <f t="shared" si="1"/>
        <v>27.587111638275324</v>
      </c>
      <c r="G29" s="223">
        <f t="shared" si="1"/>
        <v>24.76903534390145</v>
      </c>
      <c r="H29" s="223">
        <f t="shared" si="1"/>
        <v>20.488676238391502</v>
      </c>
    </row>
    <row r="30" spans="2:14" x14ac:dyDescent="0.25">
      <c r="B30" s="225">
        <v>18</v>
      </c>
      <c r="C30" s="223">
        <f t="shared" si="1"/>
        <v>37.156451456606746</v>
      </c>
      <c r="D30" s="223">
        <f t="shared" si="1"/>
        <v>34.805305734705072</v>
      </c>
      <c r="E30" s="223">
        <f t="shared" si="1"/>
        <v>31.52637844038663</v>
      </c>
      <c r="F30" s="223">
        <f t="shared" si="1"/>
        <v>28.869299430392633</v>
      </c>
      <c r="G30" s="223">
        <f t="shared" si="1"/>
        <v>25.989423082637209</v>
      </c>
      <c r="H30" s="223">
        <f t="shared" si="1"/>
        <v>21.604889795728166</v>
      </c>
    </row>
    <row r="31" spans="2:14" x14ac:dyDescent="0.25">
      <c r="B31" s="225">
        <v>19</v>
      </c>
      <c r="C31" s="223">
        <f t="shared" si="1"/>
        <v>38.58225655493424</v>
      </c>
      <c r="D31" s="223">
        <f t="shared" si="1"/>
        <v>36.190869129270048</v>
      </c>
      <c r="E31" s="223">
        <f t="shared" si="1"/>
        <v>32.852326861729708</v>
      </c>
      <c r="F31" s="223">
        <f t="shared" si="1"/>
        <v>30.143527205646155</v>
      </c>
      <c r="G31" s="223">
        <f t="shared" si="1"/>
        <v>27.203571029356826</v>
      </c>
      <c r="H31" s="223">
        <f t="shared" si="1"/>
        <v>22.717806744199855</v>
      </c>
    </row>
    <row r="32" spans="2:14" x14ac:dyDescent="0.25">
      <c r="B32" s="225">
        <v>20</v>
      </c>
      <c r="C32" s="223">
        <f t="shared" si="1"/>
        <v>39.996846312938644</v>
      </c>
      <c r="D32" s="223">
        <f t="shared" si="1"/>
        <v>37.566234786625053</v>
      </c>
      <c r="E32" s="223">
        <f t="shared" si="1"/>
        <v>34.169606902838339</v>
      </c>
      <c r="F32" s="223">
        <f t="shared" si="1"/>
        <v>31.410432844230925</v>
      </c>
      <c r="G32" s="223">
        <f t="shared" si="1"/>
        <v>28.411980584305635</v>
      </c>
      <c r="H32" s="223">
        <f t="shared" si="1"/>
        <v>23.827692043030861</v>
      </c>
    </row>
    <row r="33" spans="2:8" x14ac:dyDescent="0.25">
      <c r="B33" s="225">
        <v>21</v>
      </c>
      <c r="C33" s="223">
        <f t="shared" si="1"/>
        <v>41.401064771417609</v>
      </c>
      <c r="D33" s="223">
        <f t="shared" si="1"/>
        <v>38.932172683516065</v>
      </c>
      <c r="E33" s="223">
        <f t="shared" si="1"/>
        <v>35.478875905727257</v>
      </c>
      <c r="F33" s="223">
        <f t="shared" si="1"/>
        <v>32.670573340917308</v>
      </c>
      <c r="G33" s="223">
        <f t="shared" si="1"/>
        <v>29.615089436182725</v>
      </c>
      <c r="H33" s="223">
        <f t="shared" si="1"/>
        <v>24.934777014902309</v>
      </c>
    </row>
    <row r="34" spans="2:8" x14ac:dyDescent="0.25">
      <c r="B34" s="225">
        <v>22</v>
      </c>
      <c r="C34" s="223">
        <f t="shared" si="1"/>
        <v>42.795654999308539</v>
      </c>
      <c r="D34" s="223">
        <f t="shared" si="1"/>
        <v>40.289360437593864</v>
      </c>
      <c r="E34" s="223">
        <f t="shared" si="1"/>
        <v>36.780712084035557</v>
      </c>
      <c r="F34" s="223">
        <f t="shared" si="1"/>
        <v>33.9244384714438</v>
      </c>
      <c r="G34" s="223">
        <f t="shared" si="1"/>
        <v>30.813282343953034</v>
      </c>
      <c r="H34" s="223">
        <f t="shared" si="1"/>
        <v>26.039265028165019</v>
      </c>
    </row>
    <row r="35" spans="2:8" x14ac:dyDescent="0.25">
      <c r="B35" s="225">
        <v>23</v>
      </c>
      <c r="C35" s="223">
        <f t="shared" si="1"/>
        <v>44.181275249971101</v>
      </c>
      <c r="D35" s="223">
        <f t="shared" si="1"/>
        <v>41.638398118858476</v>
      </c>
      <c r="E35" s="223">
        <f t="shared" si="1"/>
        <v>38.075627250355801</v>
      </c>
      <c r="F35" s="223">
        <f t="shared" si="1"/>
        <v>35.172461626908053</v>
      </c>
      <c r="G35" s="223">
        <f t="shared" si="1"/>
        <v>32.006899681704304</v>
      </c>
      <c r="H35" s="223">
        <f t="shared" si="1"/>
        <v>27.141336002976505</v>
      </c>
    </row>
    <row r="36" spans="2:8" x14ac:dyDescent="0.25">
      <c r="B36" s="225">
        <v>24</v>
      </c>
      <c r="C36" s="223">
        <f t="shared" si="1"/>
        <v>45.558511936530586</v>
      </c>
      <c r="D36" s="223">
        <f t="shared" si="1"/>
        <v>42.979820139351638</v>
      </c>
      <c r="E36" s="223">
        <f t="shared" si="1"/>
        <v>39.364077026603915</v>
      </c>
      <c r="F36" s="223">
        <f t="shared" si="1"/>
        <v>36.415028501807313</v>
      </c>
      <c r="G36" s="223">
        <f t="shared" si="1"/>
        <v>33.196244288628179</v>
      </c>
      <c r="H36" s="223">
        <f t="shared" si="1"/>
        <v>28.241150025528761</v>
      </c>
    </row>
    <row r="37" spans="2:8" x14ac:dyDescent="0.25">
      <c r="B37" s="225">
        <v>25</v>
      </c>
      <c r="C37" s="223">
        <f t="shared" si="1"/>
        <v>46.92789016008075</v>
      </c>
      <c r="D37" s="223">
        <f t="shared" si="1"/>
        <v>44.314104896219156</v>
      </c>
      <c r="E37" s="223">
        <f t="shared" si="1"/>
        <v>40.646469120275199</v>
      </c>
      <c r="F37" s="223">
        <f t="shared" si="1"/>
        <v>37.65248413348278</v>
      </c>
      <c r="G37" s="223">
        <f t="shared" si="1"/>
        <v>34.381587017552953</v>
      </c>
      <c r="H37" s="223">
        <f t="shared" si="1"/>
        <v>29.338850276866367</v>
      </c>
    </row>
    <row r="38" spans="2:8" x14ac:dyDescent="0.25">
      <c r="B38" s="225">
        <v>26</v>
      </c>
      <c r="C38" s="223">
        <f t="shared" si="1"/>
        <v>48.289882332456834</v>
      </c>
      <c r="D38" s="223">
        <f t="shared" si="1"/>
        <v>45.641682666283153</v>
      </c>
      <c r="E38" s="223">
        <f t="shared" si="1"/>
        <v>41.923170096353914</v>
      </c>
      <c r="F38" s="223">
        <f t="shared" si="1"/>
        <v>38.885138659830041</v>
      </c>
      <c r="G38" s="223">
        <f t="shared" si="1"/>
        <v>35.563171271923459</v>
      </c>
      <c r="H38" s="223">
        <f t="shared" si="1"/>
        <v>30.434565428615826</v>
      </c>
    </row>
    <row r="39" spans="2:8" x14ac:dyDescent="0.25">
      <c r="B39" s="225">
        <v>27</v>
      </c>
      <c r="C39" s="223">
        <f t="shared" si="1"/>
        <v>49.644915298994228</v>
      </c>
      <c r="D39" s="223">
        <f t="shared" si="1"/>
        <v>46.962942124751443</v>
      </c>
      <c r="E39" s="223">
        <f t="shared" si="1"/>
        <v>43.194510966156031</v>
      </c>
      <c r="F39" s="223">
        <f t="shared" si="1"/>
        <v>40.113272069413625</v>
      </c>
      <c r="G39" s="223">
        <f t="shared" si="1"/>
        <v>36.741216747797637</v>
      </c>
      <c r="H39" s="223">
        <f t="shared" si="1"/>
        <v>31.528411619522313</v>
      </c>
    </row>
    <row r="40" spans="2:8" x14ac:dyDescent="0.25">
      <c r="B40" s="225">
        <v>28</v>
      </c>
      <c r="C40" s="223">
        <f t="shared" si="1"/>
        <v>50.993376268499453</v>
      </c>
      <c r="D40" s="223">
        <f t="shared" si="1"/>
        <v>48.27823577031549</v>
      </c>
      <c r="E40" s="223">
        <f t="shared" si="1"/>
        <v>44.460791836317753</v>
      </c>
      <c r="F40" s="223">
        <f t="shared" si="1"/>
        <v>41.337138151427396</v>
      </c>
      <c r="G40" s="223">
        <f t="shared" si="1"/>
        <v>37.915922544697068</v>
      </c>
      <c r="H40" s="223">
        <f t="shared" si="1"/>
        <v>32.620494099025535</v>
      </c>
    </row>
    <row r="41" spans="2:8" x14ac:dyDescent="0.25">
      <c r="B41" s="225">
        <v>29</v>
      </c>
      <c r="C41" s="223">
        <f t="shared" si="1"/>
        <v>52.335617785933614</v>
      </c>
      <c r="D41" s="223">
        <f t="shared" si="1"/>
        <v>49.587884472898835</v>
      </c>
      <c r="E41" s="223">
        <f t="shared" si="1"/>
        <v>45.722285804174533</v>
      </c>
      <c r="F41" s="223">
        <f t="shared" si="1"/>
        <v>42.556967804292682</v>
      </c>
      <c r="G41" s="223">
        <f t="shared" si="1"/>
        <v>39.087469770693957</v>
      </c>
      <c r="H41" s="223">
        <f t="shared" si="1"/>
        <v>33.710908603910802</v>
      </c>
    </row>
    <row r="42" spans="2:8" x14ac:dyDescent="0.25">
      <c r="B42" s="225">
        <v>30</v>
      </c>
      <c r="C42" s="223">
        <f t="shared" si="1"/>
        <v>53.671961930240592</v>
      </c>
      <c r="D42" s="223">
        <f t="shared" si="1"/>
        <v>50.892181311517092</v>
      </c>
      <c r="E42" s="223">
        <f t="shared" si="1"/>
        <v>46.979242243671159</v>
      </c>
      <c r="F42" s="223">
        <f t="shared" si="1"/>
        <v>43.772971825742189</v>
      </c>
      <c r="G42" s="223">
        <f t="shared" si="1"/>
        <v>40.256023738711804</v>
      </c>
      <c r="H42" s="223">
        <f t="shared" si="1"/>
        <v>34.799742519140928</v>
      </c>
    </row>
    <row r="43" spans="2:8" x14ac:dyDescent="0.25">
      <c r="B43" s="225">
        <v>31</v>
      </c>
      <c r="C43" s="223">
        <f t="shared" si="1"/>
        <v>55.002703880023894</v>
      </c>
      <c r="D43" s="223">
        <f t="shared" si="1"/>
        <v>52.191394833191929</v>
      </c>
      <c r="E43" s="223">
        <f t="shared" si="1"/>
        <v>48.231889594451957</v>
      </c>
      <c r="F43" s="223">
        <f t="shared" si="1"/>
        <v>44.985343280365143</v>
      </c>
      <c r="G43" s="223">
        <f t="shared" si="1"/>
        <v>41.42173582978522</v>
      </c>
      <c r="H43" s="223">
        <f t="shared" si="1"/>
        <v>35.887075862806</v>
      </c>
    </row>
    <row r="44" spans="2:8" x14ac:dyDescent="0.25">
      <c r="B44" s="225">
        <v>32</v>
      </c>
      <c r="C44" s="223">
        <f t="shared" si="1"/>
        <v>56.328114959710902</v>
      </c>
      <c r="D44" s="223">
        <f t="shared" si="1"/>
        <v>53.485771836235365</v>
      </c>
      <c r="E44" s="223">
        <f t="shared" si="1"/>
        <v>49.480437742971688</v>
      </c>
      <c r="F44" s="223">
        <f t="shared" si="1"/>
        <v>46.194259520278472</v>
      </c>
      <c r="G44" s="223">
        <f t="shared" si="1"/>
        <v>42.584745082980838</v>
      </c>
      <c r="H44" s="223">
        <f t="shared" si="1"/>
        <v>36.972982126683121</v>
      </c>
    </row>
    <row r="45" spans="2:8" x14ac:dyDescent="0.25">
      <c r="B45" s="225">
        <v>33</v>
      </c>
      <c r="C45" s="223">
        <f t="shared" si="1"/>
        <v>57.648445255858547</v>
      </c>
      <c r="D45" s="223">
        <f t="shared" si="1"/>
        <v>54.775539760110341</v>
      </c>
      <c r="E45" s="223">
        <f t="shared" si="1"/>
        <v>50.725080066281237</v>
      </c>
      <c r="F45" s="223">
        <f t="shared" si="1"/>
        <v>47.399883919080914</v>
      </c>
      <c r="G45" s="223">
        <f t="shared" si="1"/>
        <v>43.745179559434185</v>
      </c>
      <c r="H45" s="223">
        <f t="shared" si="1"/>
        <v>38.057528997447051</v>
      </c>
    </row>
    <row r="46" spans="2:8" x14ac:dyDescent="0.25">
      <c r="B46" s="225">
        <v>34</v>
      </c>
      <c r="C46" s="223">
        <f t="shared" ref="C46:H62" si="2">CHIINV(C$12,$B46)</f>
        <v>58.963925875519394</v>
      </c>
      <c r="D46" s="223">
        <f t="shared" si="2"/>
        <v>56.060908747789078</v>
      </c>
      <c r="E46" s="223">
        <f t="shared" si="2"/>
        <v>51.965995195121906</v>
      </c>
      <c r="F46" s="223">
        <f t="shared" si="2"/>
        <v>48.602367367294192</v>
      </c>
      <c r="G46" s="223">
        <f t="shared" si="2"/>
        <v>44.90315751851994</v>
      </c>
      <c r="H46" s="223">
        <f t="shared" si="2"/>
        <v>39.140778978600316</v>
      </c>
    </row>
    <row r="47" spans="2:8" x14ac:dyDescent="0.25">
      <c r="B47" s="225">
        <v>35</v>
      </c>
      <c r="C47" s="223">
        <f t="shared" si="2"/>
        <v>60.274770904781043</v>
      </c>
      <c r="D47" s="223">
        <f t="shared" si="2"/>
        <v>57.342073433859248</v>
      </c>
      <c r="E47" s="223">
        <f t="shared" si="2"/>
        <v>53.203348542056496</v>
      </c>
      <c r="F47" s="223">
        <f t="shared" si="2"/>
        <v>49.801849568201867</v>
      </c>
      <c r="G47" s="223">
        <f t="shared" si="2"/>
        <v>46.058788436836693</v>
      </c>
      <c r="H47" s="223">
        <f t="shared" si="2"/>
        <v>40.222789929322822</v>
      </c>
    </row>
    <row r="48" spans="2:8" x14ac:dyDescent="0.25">
      <c r="B48" s="225">
        <v>36</v>
      </c>
      <c r="C48" s="223">
        <f t="shared" si="2"/>
        <v>61.581179114757255</v>
      </c>
      <c r="D48" s="223">
        <f t="shared" si="2"/>
        <v>58.619214501687054</v>
      </c>
      <c r="E48" s="223">
        <f t="shared" si="2"/>
        <v>54.437293631813226</v>
      </c>
      <c r="F48" s="223">
        <f t="shared" si="2"/>
        <v>50.998460165710647</v>
      </c>
      <c r="G48" s="223">
        <f t="shared" si="2"/>
        <v>47.212173894937365</v>
      </c>
      <c r="H48" s="223">
        <f t="shared" si="2"/>
        <v>41.303615533408426</v>
      </c>
    </row>
    <row r="49" spans="2:8" x14ac:dyDescent="0.25">
      <c r="B49" s="225">
        <v>37</v>
      </c>
      <c r="C49" s="223">
        <f t="shared" si="2"/>
        <v>62.883335453741161</v>
      </c>
      <c r="D49" s="223">
        <f t="shared" si="2"/>
        <v>59.892500045086891</v>
      </c>
      <c r="E49" s="223">
        <f t="shared" si="2"/>
        <v>55.667973264261093</v>
      </c>
      <c r="F49" s="223">
        <f t="shared" si="2"/>
        <v>52.192319730102881</v>
      </c>
      <c r="G49" s="223">
        <f t="shared" si="2"/>
        <v>48.363408352194327</v>
      </c>
      <c r="H49" s="223">
        <f t="shared" si="2"/>
        <v>42.383305709059748</v>
      </c>
    </row>
    <row r="50" spans="2:8" x14ac:dyDescent="0.25">
      <c r="B50" s="225">
        <v>38</v>
      </c>
      <c r="C50" s="223">
        <f t="shared" si="2"/>
        <v>64.181412357406217</v>
      </c>
      <c r="D50" s="223">
        <f t="shared" si="2"/>
        <v>61.162086763689686</v>
      </c>
      <c r="E50" s="223">
        <f t="shared" si="2"/>
        <v>56.895520535055979</v>
      </c>
      <c r="F50" s="223">
        <f t="shared" si="2"/>
        <v>53.383540622969299</v>
      </c>
      <c r="G50" s="223">
        <f t="shared" si="2"/>
        <v>49.512579826575561</v>
      </c>
      <c r="H50" s="223">
        <f t="shared" si="2"/>
        <v>43.461906968405387</v>
      </c>
    </row>
    <row r="51" spans="2:8" x14ac:dyDescent="0.25">
      <c r="B51" s="225">
        <v>39</v>
      </c>
      <c r="C51" s="223">
        <f t="shared" si="2"/>
        <v>65.475570903468011</v>
      </c>
      <c r="D51" s="223">
        <f t="shared" si="2"/>
        <v>62.428121016184896</v>
      </c>
      <c r="E51" s="223">
        <f t="shared" si="2"/>
        <v>58.120059734686265</v>
      </c>
      <c r="F51" s="223">
        <f t="shared" si="2"/>
        <v>54.572227758941729</v>
      </c>
      <c r="G51" s="223">
        <f t="shared" si="2"/>
        <v>50.65977049321372</v>
      </c>
      <c r="H51" s="223">
        <f t="shared" si="2"/>
        <v>44.539462734075784</v>
      </c>
    </row>
    <row r="52" spans="2:8" x14ac:dyDescent="0.25">
      <c r="B52" s="225">
        <v>40</v>
      </c>
      <c r="C52" s="223">
        <f t="shared" si="2"/>
        <v>66.765961832803924</v>
      </c>
      <c r="D52" s="223">
        <f t="shared" si="2"/>
        <v>63.690739751564458</v>
      </c>
      <c r="E52" s="223">
        <f t="shared" si="2"/>
        <v>59.341707143171199</v>
      </c>
      <c r="F52" s="223">
        <f t="shared" si="2"/>
        <v>55.75847927888703</v>
      </c>
      <c r="G52" s="223">
        <f t="shared" si="2"/>
        <v>51.805057213317518</v>
      </c>
      <c r="H52" s="223">
        <f t="shared" si="2"/>
        <v>45.616013618942141</v>
      </c>
    </row>
    <row r="53" spans="2:8" x14ac:dyDescent="0.25">
      <c r="B53" s="225">
        <v>41</v>
      </c>
      <c r="C53" s="223">
        <f t="shared" si="2"/>
        <v>68.052726455441601</v>
      </c>
      <c r="D53" s="223">
        <f t="shared" si="2"/>
        <v>64.950071335211177</v>
      </c>
      <c r="E53" s="223">
        <f t="shared" si="2"/>
        <v>60.560571734843755</v>
      </c>
      <c r="F53" s="223">
        <f t="shared" si="2"/>
        <v>56.942387146824103</v>
      </c>
      <c r="G53" s="223">
        <f t="shared" si="2"/>
        <v>52.94851200308203</v>
      </c>
      <c r="H53" s="223">
        <f t="shared" si="2"/>
        <v>46.691597674123187</v>
      </c>
    </row>
    <row r="54" spans="2:8" x14ac:dyDescent="0.25">
      <c r="B54" s="225">
        <v>42</v>
      </c>
      <c r="C54" s="223">
        <f t="shared" si="2"/>
        <v>69.335997456900401</v>
      </c>
      <c r="D54" s="223">
        <f t="shared" si="2"/>
        <v>66.206236283993249</v>
      </c>
      <c r="E54" s="223">
        <f t="shared" si="2"/>
        <v>61.776755805349204</v>
      </c>
      <c r="F54" s="223">
        <f t="shared" si="2"/>
        <v>58.124037680868028</v>
      </c>
      <c r="G54" s="223">
        <f t="shared" si="2"/>
        <v>54.090202450712404</v>
      </c>
      <c r="H54" s="223">
        <f t="shared" si="2"/>
        <v>47.766250609549786</v>
      </c>
    </row>
    <row r="55" spans="2:8" x14ac:dyDescent="0.25">
      <c r="B55" s="225">
        <v>43</v>
      </c>
      <c r="C55" s="223">
        <f t="shared" si="2"/>
        <v>70.615899617966363</v>
      </c>
      <c r="D55" s="223">
        <f t="shared" si="2"/>
        <v>67.459347922325833</v>
      </c>
      <c r="E55" s="223">
        <f t="shared" si="2"/>
        <v>62.990355531101983</v>
      </c>
      <c r="F55" s="223">
        <f t="shared" si="2"/>
        <v>59.303512026899817</v>
      </c>
      <c r="G55" s="223">
        <f t="shared" si="2"/>
        <v>55.230192088408906</v>
      </c>
      <c r="H55" s="223">
        <f t="shared" si="2"/>
        <v>48.840005990708121</v>
      </c>
    </row>
    <row r="56" spans="2:8" x14ac:dyDescent="0.25">
      <c r="B56" s="225">
        <v>44</v>
      </c>
      <c r="C56" s="223">
        <f t="shared" si="2"/>
        <v>71.892550458999153</v>
      </c>
      <c r="D56" s="223">
        <f t="shared" si="2"/>
        <v>68.709512969345397</v>
      </c>
      <c r="E56" s="223">
        <f t="shared" si="2"/>
        <v>64.20146146988678</v>
      </c>
      <c r="F56" s="223">
        <f t="shared" si="2"/>
        <v>60.480886582336453</v>
      </c>
      <c r="G56" s="223">
        <f t="shared" si="2"/>
        <v>56.368540725118756</v>
      </c>
      <c r="H56" s="223">
        <f t="shared" si="2"/>
        <v>49.9128954146314</v>
      </c>
    </row>
    <row r="57" spans="2:8" x14ac:dyDescent="0.25">
      <c r="B57" s="225">
        <v>45</v>
      </c>
      <c r="C57" s="223">
        <f t="shared" si="2"/>
        <v>73.166060818225048</v>
      </c>
      <c r="D57" s="223">
        <f t="shared" si="2"/>
        <v>69.956832065838213</v>
      </c>
      <c r="E57" s="223">
        <f t="shared" si="2"/>
        <v>65.410159009999589</v>
      </c>
      <c r="F57" s="223">
        <f t="shared" si="2"/>
        <v>61.656233376279566</v>
      </c>
      <c r="G57" s="223">
        <f t="shared" si="2"/>
        <v>57.505304744995989</v>
      </c>
      <c r="H57" s="223">
        <f t="shared" si="2"/>
        <v>50.984948667753045</v>
      </c>
    </row>
    <row r="58" spans="2:8" x14ac:dyDescent="0.25">
      <c r="B58" s="225">
        <v>46</v>
      </c>
      <c r="C58" s="223">
        <f t="shared" si="2"/>
        <v>74.436535372101702</v>
      </c>
      <c r="D58" s="223">
        <f t="shared" si="2"/>
        <v>71.201400248311543</v>
      </c>
      <c r="E58" s="223">
        <f t="shared" si="2"/>
        <v>66.616528774250483</v>
      </c>
      <c r="F58" s="223">
        <f t="shared" si="2"/>
        <v>62.829620411408179</v>
      </c>
      <c r="G58" s="223">
        <f t="shared" si="2"/>
        <v>58.640537375791716</v>
      </c>
      <c r="H58" s="223">
        <f t="shared" si="2"/>
        <v>52.056193867854432</v>
      </c>
    </row>
    <row r="59" spans="2:8" x14ac:dyDescent="0.25">
      <c r="B59" s="225">
        <v>47</v>
      </c>
      <c r="C59" s="223">
        <f t="shared" si="2"/>
        <v>75.704073104694757</v>
      </c>
      <c r="D59" s="223">
        <f t="shared" si="2"/>
        <v>72.443307376548248</v>
      </c>
      <c r="E59" s="223">
        <f t="shared" si="2"/>
        <v>67.820646984252477</v>
      </c>
      <c r="F59" s="223">
        <f t="shared" si="2"/>
        <v>64.001111972218027</v>
      </c>
      <c r="G59" s="223">
        <f t="shared" si="2"/>
        <v>59.774288930795954</v>
      </c>
      <c r="H59" s="223">
        <f t="shared" si="2"/>
        <v>53.126657592022568</v>
      </c>
    </row>
    <row r="60" spans="2:8" ht="15" customHeight="1" x14ac:dyDescent="0.25">
      <c r="B60" s="225">
        <v>48</v>
      </c>
      <c r="C60" s="223">
        <f t="shared" si="2"/>
        <v>76.968767732044569</v>
      </c>
      <c r="D60" s="223">
        <f t="shared" si="2"/>
        <v>73.682638520105755</v>
      </c>
      <c r="E60" s="223">
        <f t="shared" si="2"/>
        <v>69.022585789666081</v>
      </c>
      <c r="F60" s="223">
        <f t="shared" si="2"/>
        <v>65.170768903569837</v>
      </c>
      <c r="G60" s="223">
        <f t="shared" si="2"/>
        <v>60.906607027448366</v>
      </c>
      <c r="H60" s="223">
        <f t="shared" si="2"/>
        <v>54.196364992266219</v>
      </c>
    </row>
    <row r="61" spans="2:8" ht="15" customHeight="1" x14ac:dyDescent="0.25">
      <c r="B61" s="225">
        <v>49</v>
      </c>
      <c r="C61" s="223">
        <f t="shared" si="2"/>
        <v>78.230708086689944</v>
      </c>
      <c r="D61" s="223">
        <f t="shared" si="2"/>
        <v>74.919474308478186</v>
      </c>
      <c r="E61" s="223">
        <f t="shared" si="2"/>
        <v>70.22241356643454</v>
      </c>
      <c r="F61" s="223">
        <f t="shared" si="2"/>
        <v>66.338648862968824</v>
      </c>
      <c r="G61" s="223">
        <f t="shared" si="2"/>
        <v>62.037536785309662</v>
      </c>
      <c r="H61" s="223">
        <f t="shared" si="2"/>
        <v>55.26533990021462</v>
      </c>
    </row>
    <row r="62" spans="2:8" ht="15" customHeight="1" x14ac:dyDescent="0.25">
      <c r="B62" s="222">
        <v>50</v>
      </c>
      <c r="C62" s="223">
        <f t="shared" si="2"/>
        <v>79.489978466828902</v>
      </c>
      <c r="D62" s="223">
        <f t="shared" si="2"/>
        <v>76.15389124901273</v>
      </c>
      <c r="E62" s="223">
        <f t="shared" si="2"/>
        <v>71.420195187506408</v>
      </c>
      <c r="F62" s="223">
        <f t="shared" si="2"/>
        <v>67.504806549541186</v>
      </c>
      <c r="G62" s="223">
        <f t="shared" si="2"/>
        <v>63.167121005726315</v>
      </c>
      <c r="H62" s="223">
        <f t="shared" si="2"/>
        <v>56.33360492213238</v>
      </c>
    </row>
    <row r="63" spans="2:8" ht="19.5" customHeight="1" x14ac:dyDescent="0.25"/>
  </sheetData>
  <mergeCells count="6">
    <mergeCell ref="C11:H11"/>
    <mergeCell ref="B2:F2"/>
    <mergeCell ref="B3:E3"/>
    <mergeCell ref="C7:D7"/>
    <mergeCell ref="C8:D8"/>
    <mergeCell ref="B9:D9"/>
  </mergeCells>
  <conditionalFormatting sqref="C13:H62">
    <cfRule type="cellIs" dxfId="0" priority="1" operator="equal">
      <formula>$E$9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3" name="Scroll Bar 1">
              <controlPr defaultSize="0" autoPict="0">
                <anchor moveWithCells="1">
                  <from>
                    <xdr:col>3</xdr:col>
                    <xdr:colOff>104775</xdr:colOff>
                    <xdr:row>7</xdr:row>
                    <xdr:rowOff>28575</xdr:rowOff>
                  </from>
                  <to>
                    <xdr:col>3</xdr:col>
                    <xdr:colOff>590550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4" name="Scroll Bar 2">
              <controlPr defaultSize="0" autoPict="0">
                <anchor moveWithCells="1">
                  <from>
                    <xdr:col>3</xdr:col>
                    <xdr:colOff>104775</xdr:colOff>
                    <xdr:row>6</xdr:row>
                    <xdr:rowOff>28575</xdr:rowOff>
                  </from>
                  <to>
                    <xdr:col>3</xdr:col>
                    <xdr:colOff>590550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workbookViewId="0">
      <selection activeCell="E8" sqref="E8"/>
    </sheetView>
  </sheetViews>
  <sheetFormatPr defaultRowHeight="15" x14ac:dyDescent="0.25"/>
  <cols>
    <col min="1" max="1" width="5.85546875" style="2" customWidth="1"/>
    <col min="2" max="2" width="13" style="2" customWidth="1"/>
    <col min="3" max="3" width="4.140625" style="2" customWidth="1"/>
    <col min="4" max="4" width="11.85546875" style="2" customWidth="1"/>
    <col min="5" max="5" width="8.5703125" style="2" customWidth="1"/>
    <col min="6" max="6" width="18.28515625" style="2" customWidth="1"/>
    <col min="7" max="7" width="7.42578125" style="2" customWidth="1"/>
    <col min="8" max="8" width="5.140625" style="2" customWidth="1"/>
    <col min="9" max="9" width="15.85546875" style="2" customWidth="1"/>
    <col min="10" max="10" width="9" style="2" customWidth="1"/>
    <col min="11" max="11" width="17.7109375" style="2" customWidth="1"/>
    <col min="12" max="12" width="5.85546875" style="2" customWidth="1"/>
    <col min="13" max="16384" width="9.140625" style="2"/>
  </cols>
  <sheetData>
    <row r="1" spans="2:11" ht="19.5" customHeight="1" x14ac:dyDescent="0.25"/>
    <row r="2" spans="2:11" ht="18.75" x14ac:dyDescent="0.25">
      <c r="B2" s="238" t="s">
        <v>300</v>
      </c>
    </row>
    <row r="3" spans="2:11" ht="18" customHeight="1" x14ac:dyDescent="0.25">
      <c r="B3" s="319" t="s">
        <v>301</v>
      </c>
      <c r="C3" s="319"/>
      <c r="D3" s="319"/>
      <c r="E3" s="319"/>
    </row>
    <row r="4" spans="2:11" x14ac:dyDescent="0.25">
      <c r="B4" s="6" t="s">
        <v>302</v>
      </c>
    </row>
    <row r="5" spans="2:11" x14ac:dyDescent="0.25">
      <c r="B5" s="6" t="s">
        <v>303</v>
      </c>
    </row>
    <row r="6" spans="2:11" ht="6.75" customHeight="1" x14ac:dyDescent="0.25">
      <c r="B6" s="1"/>
    </row>
    <row r="7" spans="2:11" x14ac:dyDescent="0.25">
      <c r="B7" s="239" t="s">
        <v>73</v>
      </c>
      <c r="C7" s="5"/>
      <c r="D7" s="240" t="s">
        <v>304</v>
      </c>
      <c r="E7" s="241">
        <f>COUNT(B8:B18)</f>
        <v>8</v>
      </c>
      <c r="F7" s="242" t="s">
        <v>305</v>
      </c>
    </row>
    <row r="8" spans="2:11" x14ac:dyDescent="0.25">
      <c r="B8" s="245">
        <v>2580</v>
      </c>
      <c r="C8" s="5"/>
      <c r="D8" s="240" t="s">
        <v>308</v>
      </c>
      <c r="E8" s="241">
        <f>COUNTA(B8:B18)</f>
        <v>10</v>
      </c>
      <c r="F8" s="242" t="s">
        <v>309</v>
      </c>
    </row>
    <row r="9" spans="2:11" x14ac:dyDescent="0.25">
      <c r="B9" s="245">
        <v>2780</v>
      </c>
      <c r="C9" s="5"/>
      <c r="D9" s="5"/>
      <c r="E9" s="5"/>
      <c r="F9" s="5"/>
    </row>
    <row r="10" spans="2:11" x14ac:dyDescent="0.25">
      <c r="B10" s="245">
        <v>1850</v>
      </c>
      <c r="C10" s="5"/>
      <c r="D10" s="243" t="s">
        <v>73</v>
      </c>
      <c r="E10" s="112">
        <v>125</v>
      </c>
      <c r="F10" s="244">
        <v>440</v>
      </c>
      <c r="G10" s="112" t="s">
        <v>306</v>
      </c>
      <c r="I10" s="29" t="s">
        <v>307</v>
      </c>
      <c r="J10" s="241">
        <f>COUNT(E10:G21)</f>
        <v>15</v>
      </c>
      <c r="K10" s="71" t="str">
        <f ca="1">_xlfn.FORMULATEXT(J10)</f>
        <v>=COUNT(E10:G21)</v>
      </c>
    </row>
    <row r="11" spans="2:11" x14ac:dyDescent="0.25">
      <c r="B11" s="245">
        <v>1440</v>
      </c>
      <c r="C11" s="5"/>
      <c r="D11" s="5"/>
      <c r="E11" s="112">
        <v>445</v>
      </c>
      <c r="F11" s="244">
        <v>1250</v>
      </c>
      <c r="G11" s="112" t="s">
        <v>310</v>
      </c>
      <c r="I11" s="29" t="s">
        <v>311</v>
      </c>
      <c r="J11" s="241">
        <f>COUNTA(E10:G21)</f>
        <v>33</v>
      </c>
      <c r="K11" s="71" t="str">
        <f ca="1">_xlfn.FORMULATEXT(J11)</f>
        <v>=COUNTA(E10:G21)</v>
      </c>
    </row>
    <row r="12" spans="2:11" x14ac:dyDescent="0.25">
      <c r="B12" s="245" t="s">
        <v>316</v>
      </c>
      <c r="C12" s="5"/>
      <c r="D12" s="5"/>
      <c r="E12" s="112" t="s">
        <v>312</v>
      </c>
      <c r="F12" s="244">
        <v>52</v>
      </c>
      <c r="G12" s="112" t="s">
        <v>313</v>
      </c>
    </row>
    <row r="13" spans="2:11" x14ac:dyDescent="0.25">
      <c r="B13" s="245">
        <v>1548</v>
      </c>
      <c r="C13" s="5"/>
      <c r="D13" s="246"/>
      <c r="E13" s="112">
        <v>547</v>
      </c>
      <c r="F13" s="244"/>
      <c r="G13" s="112" t="s">
        <v>314</v>
      </c>
    </row>
    <row r="14" spans="2:11" x14ac:dyDescent="0.25">
      <c r="B14" s="245" t="s">
        <v>320</v>
      </c>
      <c r="C14" s="5"/>
      <c r="D14" s="5"/>
      <c r="E14" s="112">
        <v>555</v>
      </c>
      <c r="F14" s="244">
        <v>250</v>
      </c>
      <c r="G14" s="112" t="s">
        <v>315</v>
      </c>
    </row>
    <row r="15" spans="2:11" x14ac:dyDescent="0.25">
      <c r="B15" s="245">
        <v>2458</v>
      </c>
      <c r="C15" s="5"/>
      <c r="D15" s="5"/>
      <c r="E15" s="112" t="s">
        <v>316</v>
      </c>
      <c r="F15" s="244">
        <v>125</v>
      </c>
      <c r="G15" s="112" t="s">
        <v>317</v>
      </c>
    </row>
    <row r="16" spans="2:11" x14ac:dyDescent="0.25">
      <c r="B16" s="245">
        <v>3100</v>
      </c>
      <c r="C16" s="5"/>
      <c r="D16" s="246"/>
      <c r="E16" s="112">
        <v>475</v>
      </c>
      <c r="F16" s="244" t="s">
        <v>318</v>
      </c>
      <c r="G16" s="112"/>
      <c r="I16" s="247" t="s">
        <v>319</v>
      </c>
    </row>
    <row r="17" spans="2:7" x14ac:dyDescent="0.25">
      <c r="B17" s="245"/>
      <c r="C17" s="5"/>
      <c r="D17" s="5"/>
      <c r="E17" s="112">
        <v>44</v>
      </c>
      <c r="F17" s="244" t="s">
        <v>321</v>
      </c>
      <c r="G17" s="112">
        <v>548</v>
      </c>
    </row>
    <row r="18" spans="2:7" x14ac:dyDescent="0.25">
      <c r="B18" s="245">
        <v>4500</v>
      </c>
      <c r="C18" s="5"/>
      <c r="D18" s="5"/>
      <c r="E18" s="112" t="s">
        <v>322</v>
      </c>
      <c r="F18" s="244" t="s">
        <v>323</v>
      </c>
      <c r="G18" s="112" t="s">
        <v>324</v>
      </c>
    </row>
    <row r="19" spans="2:7" ht="15" customHeight="1" x14ac:dyDescent="0.25">
      <c r="B19" s="248"/>
      <c r="D19" s="246"/>
      <c r="E19" s="112" t="s">
        <v>325</v>
      </c>
      <c r="F19" s="244" t="s">
        <v>326</v>
      </c>
      <c r="G19" s="112" t="s">
        <v>327</v>
      </c>
    </row>
    <row r="20" spans="2:7" x14ac:dyDescent="0.25">
      <c r="B20" s="248"/>
      <c r="D20" s="5"/>
      <c r="E20" s="112">
        <v>1250</v>
      </c>
      <c r="F20" s="244" t="s">
        <v>328</v>
      </c>
      <c r="G20" s="112" t="s">
        <v>329</v>
      </c>
    </row>
    <row r="21" spans="2:7" x14ac:dyDescent="0.25">
      <c r="B21" s="248"/>
      <c r="D21" s="5"/>
      <c r="E21" s="112">
        <v>124</v>
      </c>
      <c r="F21" s="244">
        <v>145</v>
      </c>
      <c r="G21" s="112"/>
    </row>
    <row r="22" spans="2:7" ht="19.5" customHeight="1" x14ac:dyDescent="0.25">
      <c r="B22" s="248"/>
    </row>
    <row r="23" spans="2:7" x14ac:dyDescent="0.25">
      <c r="B23" s="248"/>
    </row>
  </sheetData>
  <mergeCells count="1">
    <mergeCell ref="B3:E3"/>
  </mergeCells>
  <pageMargins left="0.75" right="0.75" top="1" bottom="1" header="0.5" footer="0.5"/>
  <pageSetup orientation="portrait" horizontalDpi="36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"/>
  <sheetViews>
    <sheetView showGridLines="0" workbookViewId="0">
      <selection activeCell="D5" sqref="D5"/>
    </sheetView>
  </sheetViews>
  <sheetFormatPr defaultRowHeight="15" x14ac:dyDescent="0.25"/>
  <cols>
    <col min="1" max="1" width="5.85546875" style="72" customWidth="1"/>
    <col min="2" max="2" width="15.5703125" style="72" customWidth="1"/>
    <col min="3" max="3" width="32.5703125" style="72" customWidth="1"/>
    <col min="4" max="4" width="17.28515625" style="72" customWidth="1"/>
    <col min="5" max="5" width="5.85546875" style="72" customWidth="1"/>
    <col min="6" max="8" width="9.140625" style="72"/>
    <col min="9" max="9" width="9.42578125" style="72" customWidth="1"/>
    <col min="10" max="16384" width="9.140625" style="72"/>
  </cols>
  <sheetData>
    <row r="1" spans="1:4" ht="19.5" customHeight="1" x14ac:dyDescent="0.25"/>
    <row r="2" spans="1:4" ht="18.75" x14ac:dyDescent="0.25">
      <c r="B2" s="73" t="s">
        <v>295</v>
      </c>
    </row>
    <row r="3" spans="1:4" ht="18" customHeight="1" x14ac:dyDescent="0.25">
      <c r="A3" s="74">
        <v>1</v>
      </c>
      <c r="B3" s="320" t="s">
        <v>71</v>
      </c>
      <c r="C3" s="320"/>
      <c r="D3" s="320"/>
    </row>
    <row r="4" spans="1:4" ht="23.25" x14ac:dyDescent="0.25">
      <c r="B4" s="321" t="str">
        <f ca="1">IF(A3=1,TEXT(NOW(),"DD MMMM YYY HH:MM"),TEXT(TODAY(),"DD MMMM YYY"))</f>
        <v>29 Mei 2019 14:52</v>
      </c>
      <c r="C4" s="321"/>
      <c r="D4" s="321"/>
    </row>
    <row r="5" spans="1:4" ht="23.25" x14ac:dyDescent="0.25">
      <c r="B5" s="320" t="s">
        <v>72</v>
      </c>
      <c r="C5" s="320"/>
      <c r="D5" s="75" t="str">
        <f>IF(A3=1,"NOW()","TODAY()")</f>
        <v>NOW()</v>
      </c>
    </row>
    <row r="6" spans="1:4" ht="19.5" customHeight="1" x14ac:dyDescent="0.25">
      <c r="B6" s="76"/>
      <c r="C6" s="76"/>
      <c r="D6" s="76"/>
    </row>
  </sheetData>
  <mergeCells count="3">
    <mergeCell ref="B3:D3"/>
    <mergeCell ref="B4:D4"/>
    <mergeCell ref="B5:C5"/>
  </mergeCells>
  <pageMargins left="0.75" right="0.75" top="1" bottom="1" header="0.5" footer="0.5"/>
  <pageSetup orientation="portrait" horizontalDpi="360" verticalDpi="360" copies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Option Button 1">
              <controlPr defaultSize="0" autoFill="0" autoLine="0" autoPict="0">
                <anchor moveWithCells="1">
                  <from>
                    <xdr:col>2</xdr:col>
                    <xdr:colOff>723900</xdr:colOff>
                    <xdr:row>1</xdr:row>
                    <xdr:rowOff>219075</xdr:rowOff>
                  </from>
                  <to>
                    <xdr:col>2</xdr:col>
                    <xdr:colOff>1000125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2</xdr:col>
                    <xdr:colOff>1981200</xdr:colOff>
                    <xdr:row>1</xdr:row>
                    <xdr:rowOff>219075</xdr:rowOff>
                  </from>
                  <to>
                    <xdr:col>3</xdr:col>
                    <xdr:colOff>85725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showGridLines="0" workbookViewId="0">
      <selection activeCell="F8" sqref="F8"/>
    </sheetView>
  </sheetViews>
  <sheetFormatPr defaultRowHeight="15" x14ac:dyDescent="0.25"/>
  <cols>
    <col min="1" max="1" width="5.85546875" style="1" customWidth="1"/>
    <col min="2" max="2" width="25" style="1" customWidth="1"/>
    <col min="3" max="3" width="19.85546875" style="1" customWidth="1"/>
    <col min="4" max="4" width="4.28515625" style="1" customWidth="1"/>
    <col min="5" max="5" width="25" style="1" customWidth="1"/>
    <col min="6" max="6" width="19.7109375" style="1" customWidth="1"/>
    <col min="7" max="7" width="17.14062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9.5" customHeight="1" x14ac:dyDescent="0.25">
      <c r="B2" s="77" t="s">
        <v>286</v>
      </c>
    </row>
    <row r="3" spans="1:7" ht="15.75" x14ac:dyDescent="0.25">
      <c r="B3" s="204" t="s">
        <v>43</v>
      </c>
    </row>
    <row r="4" spans="1:7" ht="18" customHeight="1" x14ac:dyDescent="0.25">
      <c r="B4" s="317" t="s">
        <v>284</v>
      </c>
      <c r="C4" s="322"/>
      <c r="E4" s="205" t="s">
        <v>287</v>
      </c>
    </row>
    <row r="5" spans="1:7" ht="16.5" customHeight="1" x14ac:dyDescent="0.25">
      <c r="B5" s="6" t="s">
        <v>278</v>
      </c>
      <c r="D5" s="28">
        <v>165</v>
      </c>
      <c r="E5" s="198" t="s">
        <v>44</v>
      </c>
      <c r="F5" s="43">
        <f>D5+43465</f>
        <v>43630</v>
      </c>
    </row>
    <row r="6" spans="1:7" ht="16.5" customHeight="1" x14ac:dyDescent="0.25">
      <c r="B6" s="6" t="s">
        <v>279</v>
      </c>
      <c r="E6" s="199" t="str">
        <f>"Bulan ("&amp;IF(A8&lt;10,"mundur)","maju)")</f>
        <v>Bulan (maju)</v>
      </c>
      <c r="F6" s="45">
        <f>A8-10</f>
        <v>3</v>
      </c>
    </row>
    <row r="7" spans="1:7" ht="16.5" customHeight="1" x14ac:dyDescent="0.25">
      <c r="B7" s="6" t="s">
        <v>281</v>
      </c>
      <c r="E7" s="323" t="s">
        <v>45</v>
      </c>
      <c r="F7" s="200">
        <f>EDATE(F5,F6)</f>
        <v>43722</v>
      </c>
      <c r="G7" s="203" t="str">
        <f ca="1">_xlfn.FORMULATEXT(F7)</f>
        <v>=EDATE(F5;F6)</v>
      </c>
    </row>
    <row r="8" spans="1:7" ht="16.5" customHeight="1" x14ac:dyDescent="0.25">
      <c r="A8" s="28">
        <v>13</v>
      </c>
      <c r="B8" s="6" t="s">
        <v>280</v>
      </c>
      <c r="E8" s="324"/>
      <c r="F8" s="201">
        <f>EOMONTH(F5,F6)</f>
        <v>43738</v>
      </c>
      <c r="G8" s="203" t="str">
        <f ca="1">_xlfn.FORMULATEXT(F8)</f>
        <v>=EOMONTH(F5;F6)</v>
      </c>
    </row>
    <row r="9" spans="1:7" ht="16.5" customHeight="1" x14ac:dyDescent="0.25"/>
    <row r="10" spans="1:7" ht="16.5" customHeight="1" x14ac:dyDescent="0.25">
      <c r="B10" s="204" t="s">
        <v>46</v>
      </c>
    </row>
    <row r="11" spans="1:7" ht="16.5" customHeight="1" x14ac:dyDescent="0.25">
      <c r="B11" s="317" t="s">
        <v>285</v>
      </c>
      <c r="C11" s="322"/>
    </row>
    <row r="12" spans="1:7" ht="16.5" customHeight="1" x14ac:dyDescent="0.25">
      <c r="B12" s="6" t="s">
        <v>283</v>
      </c>
    </row>
    <row r="13" spans="1:7" ht="16.5" customHeight="1" x14ac:dyDescent="0.25">
      <c r="B13" s="6" t="s">
        <v>282</v>
      </c>
    </row>
    <row r="14" spans="1:7" ht="16.5" customHeight="1" x14ac:dyDescent="0.25">
      <c r="B14" s="6" t="s">
        <v>281</v>
      </c>
    </row>
    <row r="15" spans="1:7" ht="16.5" customHeight="1" x14ac:dyDescent="0.25">
      <c r="B15" s="1" t="s">
        <v>280</v>
      </c>
    </row>
    <row r="16" spans="1:7" ht="19.5" customHeight="1" x14ac:dyDescent="0.25"/>
    <row r="17" ht="16.5" customHeight="1" x14ac:dyDescent="0.25"/>
    <row r="18" ht="18" customHeight="1" x14ac:dyDescent="0.25"/>
  </sheetData>
  <mergeCells count="3">
    <mergeCell ref="B4:C4"/>
    <mergeCell ref="B11:C11"/>
    <mergeCell ref="E7:E8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4</xdr:col>
                    <xdr:colOff>1104900</xdr:colOff>
                    <xdr:row>4</xdr:row>
                    <xdr:rowOff>28575</xdr:rowOff>
                  </from>
                  <to>
                    <xdr:col>4</xdr:col>
                    <xdr:colOff>1590675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Scroll Bar 2">
              <controlPr defaultSize="0" autoPict="0">
                <anchor moveWithCells="1">
                  <from>
                    <xdr:col>4</xdr:col>
                    <xdr:colOff>1104900</xdr:colOff>
                    <xdr:row>5</xdr:row>
                    <xdr:rowOff>19050</xdr:rowOff>
                  </from>
                  <to>
                    <xdr:col>4</xdr:col>
                    <xdr:colOff>1590675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"/>
  <sheetViews>
    <sheetView showGridLines="0" workbookViewId="0">
      <selection activeCell="C10" sqref="C10"/>
    </sheetView>
  </sheetViews>
  <sheetFormatPr defaultRowHeight="15" customHeight="1" x14ac:dyDescent="0.25"/>
  <cols>
    <col min="1" max="1" width="5.85546875" style="1" customWidth="1"/>
    <col min="2" max="2" width="19.28515625" style="1" customWidth="1"/>
    <col min="3" max="3" width="20" style="1" customWidth="1"/>
    <col min="4" max="4" width="16.42578125" style="1" customWidth="1"/>
    <col min="5" max="5" width="3.7109375" style="1" customWidth="1"/>
    <col min="6" max="6" width="20.42578125" style="1" customWidth="1"/>
    <col min="7" max="7" width="21.28515625" style="2" customWidth="1"/>
    <col min="8" max="8" width="5.85546875" style="2" customWidth="1"/>
    <col min="9" max="9" width="19.5703125" style="2" customWidth="1"/>
    <col min="10" max="10" width="6.85546875" style="2" customWidth="1"/>
    <col min="11" max="15" width="9.140625" style="2"/>
    <col min="16" max="16384" width="9.140625" style="1"/>
  </cols>
  <sheetData>
    <row r="1" spans="1:7" ht="19.5" customHeight="1" x14ac:dyDescent="0.25">
      <c r="A1" s="2"/>
      <c r="B1" s="2"/>
      <c r="C1" s="2"/>
      <c r="D1" s="2"/>
      <c r="E1" s="2"/>
      <c r="F1" s="2"/>
    </row>
    <row r="2" spans="1:7" ht="15" customHeight="1" x14ac:dyDescent="0.25">
      <c r="B2" s="3" t="s">
        <v>15</v>
      </c>
      <c r="C2" s="2"/>
      <c r="D2" s="2"/>
      <c r="E2" s="2"/>
      <c r="F2" s="2"/>
    </row>
    <row r="3" spans="1:7" ht="18" customHeight="1" x14ac:dyDescent="0.25">
      <c r="B3" s="325" t="s">
        <v>16</v>
      </c>
      <c r="C3" s="325"/>
      <c r="D3" s="4"/>
      <c r="E3" s="5"/>
      <c r="F3" s="2"/>
    </row>
    <row r="4" spans="1:7" ht="15" customHeight="1" x14ac:dyDescent="0.25">
      <c r="B4" s="6" t="s">
        <v>17</v>
      </c>
      <c r="C4" s="2"/>
      <c r="D4" s="2"/>
      <c r="E4" s="2"/>
      <c r="F4" s="2"/>
    </row>
    <row r="5" spans="1:7" ht="15" customHeight="1" x14ac:dyDescent="0.25">
      <c r="B5" s="7">
        <f>DATE(2020,4,22)</f>
        <v>43943</v>
      </c>
      <c r="C5" s="8" t="str">
        <f ca="1">_xlfn.FORMULATEXT(B5)</f>
        <v>=DATE(2020;4;22)</v>
      </c>
      <c r="D5" s="2"/>
      <c r="E5" s="2"/>
      <c r="F5" s="2"/>
    </row>
    <row r="6" spans="1:7" ht="15" customHeight="1" x14ac:dyDescent="0.25">
      <c r="B6" s="6"/>
      <c r="C6" s="2"/>
      <c r="D6" s="2"/>
      <c r="E6" s="2"/>
      <c r="F6" s="2"/>
    </row>
    <row r="7" spans="1:7" ht="16.5" customHeight="1" x14ac:dyDescent="0.25">
      <c r="B7" s="9" t="s">
        <v>18</v>
      </c>
      <c r="C7" s="10">
        <v>2020</v>
      </c>
      <c r="D7" s="11"/>
      <c r="E7" s="2"/>
      <c r="F7" s="12" t="s">
        <v>19</v>
      </c>
      <c r="G7" s="13" t="s">
        <v>20</v>
      </c>
    </row>
    <row r="8" spans="1:7" ht="16.5" customHeight="1" x14ac:dyDescent="0.25">
      <c r="A8" s="14">
        <v>11</v>
      </c>
      <c r="B8" s="9" t="s">
        <v>1</v>
      </c>
      <c r="C8" s="10">
        <f>A8-3</f>
        <v>8</v>
      </c>
      <c r="D8" s="15"/>
      <c r="E8" s="2"/>
      <c r="F8" s="16">
        <f>DATE(2015,123,31)</f>
        <v>45747</v>
      </c>
      <c r="G8" s="17" t="str">
        <f ca="1">_xlfn.FORMULATEXT(F8)</f>
        <v>=DATE(2015;123;31)</v>
      </c>
    </row>
    <row r="9" spans="1:7" ht="16.5" customHeight="1" x14ac:dyDescent="0.25">
      <c r="B9" s="18" t="s">
        <v>21</v>
      </c>
      <c r="C9" s="19">
        <v>18</v>
      </c>
      <c r="D9" s="11"/>
      <c r="E9" s="2"/>
      <c r="F9" s="16">
        <f>DATE(2017,0,31)</f>
        <v>42735</v>
      </c>
      <c r="G9" s="20" t="str">
        <f t="shared" ref="G9:G10" ca="1" si="0">_xlfn.FORMULATEXT(F9)</f>
        <v>=DATE(2017;0;31)</v>
      </c>
    </row>
    <row r="10" spans="1:7" ht="16.5" customHeight="1" x14ac:dyDescent="0.25">
      <c r="B10" s="21" t="s">
        <v>19</v>
      </c>
      <c r="C10" s="22">
        <f>DATE(C7,C8,C9)</f>
        <v>44061</v>
      </c>
      <c r="D10" s="23" t="str">
        <f ca="1">_xlfn.FORMULATEXT(C10)</f>
        <v>=DATE(C7;C8;C9)</v>
      </c>
      <c r="E10" s="2"/>
      <c r="F10" s="16">
        <f>DATE(2017,13,31)</f>
        <v>43131</v>
      </c>
      <c r="G10" s="20" t="str">
        <f t="shared" ca="1" si="0"/>
        <v>=DATE(2017;13;31)</v>
      </c>
    </row>
    <row r="11" spans="1:7" ht="19.5" customHeight="1" x14ac:dyDescent="0.25">
      <c r="B11" s="326" t="str">
        <f>IF(A8&gt;3,"",IF(A8&lt;4,"mundur ","")&amp;4-A8&amp;" bulan")</f>
        <v/>
      </c>
      <c r="C11" s="327"/>
      <c r="D11" s="2"/>
      <c r="E11" s="2"/>
      <c r="F11" s="2"/>
    </row>
    <row r="12" spans="1:7" ht="15" customHeight="1" x14ac:dyDescent="0.25">
      <c r="B12" s="24"/>
      <c r="C12" s="25"/>
      <c r="D12" s="2"/>
      <c r="E12" s="2"/>
      <c r="F12" s="2"/>
    </row>
    <row r="13" spans="1:7" ht="15" customHeight="1" x14ac:dyDescent="0.25">
      <c r="A13" s="2"/>
      <c r="E13" s="2"/>
      <c r="F13" s="2"/>
    </row>
    <row r="14" spans="1:7" ht="15" customHeight="1" x14ac:dyDescent="0.25">
      <c r="A14" s="2"/>
      <c r="B14" s="2"/>
      <c r="C14" s="2"/>
      <c r="D14" s="2"/>
      <c r="E14" s="2"/>
      <c r="F14" s="2"/>
    </row>
    <row r="15" spans="1:7" ht="15" customHeight="1" x14ac:dyDescent="0.25">
      <c r="A15" s="2"/>
      <c r="B15" s="2"/>
      <c r="C15" s="2"/>
      <c r="D15" s="2"/>
      <c r="E15" s="2"/>
      <c r="F15" s="2"/>
    </row>
    <row r="16" spans="1:7" ht="15" customHeight="1" x14ac:dyDescent="0.25">
      <c r="A16" s="2"/>
      <c r="B16" s="2"/>
      <c r="C16" s="2"/>
      <c r="D16" s="2"/>
      <c r="E16" s="2"/>
      <c r="F16" s="2"/>
    </row>
    <row r="17" spans="1:6" ht="15" customHeight="1" x14ac:dyDescent="0.25">
      <c r="A17" s="2"/>
      <c r="B17" s="2"/>
      <c r="C17" s="2"/>
      <c r="D17" s="2"/>
      <c r="E17" s="2"/>
      <c r="F17" s="2"/>
    </row>
    <row r="18" spans="1:6" ht="15" customHeight="1" x14ac:dyDescent="0.25">
      <c r="A18" s="2"/>
      <c r="B18" s="2"/>
      <c r="C18" s="2"/>
      <c r="D18" s="2"/>
      <c r="E18" s="2"/>
      <c r="F18" s="2"/>
    </row>
    <row r="19" spans="1:6" ht="15" customHeight="1" x14ac:dyDescent="0.25">
      <c r="C19" s="2"/>
      <c r="D19" s="2"/>
      <c r="E19" s="2"/>
      <c r="F19" s="2"/>
    </row>
    <row r="20" spans="1:6" ht="15" customHeight="1" x14ac:dyDescent="0.25">
      <c r="E20" s="2"/>
      <c r="F20" s="2"/>
    </row>
    <row r="21" spans="1:6" ht="15" customHeight="1" x14ac:dyDescent="0.25">
      <c r="E21" s="2"/>
    </row>
  </sheetData>
  <mergeCells count="2">
    <mergeCell ref="B3:C3"/>
    <mergeCell ref="B11:C11"/>
  </mergeCells>
  <conditionalFormatting sqref="B11">
    <cfRule type="notContainsBlanks" dxfId="7" priority="1">
      <formula>LEN(TRIM(B11))&gt;0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1</xdr:col>
                    <xdr:colOff>714375</xdr:colOff>
                    <xdr:row>6</xdr:row>
                    <xdr:rowOff>47625</xdr:rowOff>
                  </from>
                  <to>
                    <xdr:col>1</xdr:col>
                    <xdr:colOff>1200150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defaultSize="0" autoPict="0">
                <anchor moveWithCells="1">
                  <from>
                    <xdr:col>1</xdr:col>
                    <xdr:colOff>714375</xdr:colOff>
                    <xdr:row>7</xdr:row>
                    <xdr:rowOff>28575</xdr:rowOff>
                  </from>
                  <to>
                    <xdr:col>1</xdr:col>
                    <xdr:colOff>1200150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1</xdr:col>
                    <xdr:colOff>714375</xdr:colOff>
                    <xdr:row>8</xdr:row>
                    <xdr:rowOff>9525</xdr:rowOff>
                  </from>
                  <to>
                    <xdr:col>1</xdr:col>
                    <xdr:colOff>1200150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C8" sqref="C8"/>
    </sheetView>
  </sheetViews>
  <sheetFormatPr defaultRowHeight="15" x14ac:dyDescent="0.25"/>
  <cols>
    <col min="1" max="1" width="5.85546875" style="1" customWidth="1"/>
    <col min="2" max="2" width="17.85546875" style="1" customWidth="1"/>
    <col min="3" max="3" width="12.85546875" style="1" customWidth="1"/>
    <col min="4" max="4" width="17" style="1" customWidth="1"/>
    <col min="5" max="5" width="6" style="1" customWidth="1"/>
    <col min="6" max="6" width="17.85546875" style="1" customWidth="1"/>
    <col min="7" max="7" width="14.140625" style="1" customWidth="1"/>
    <col min="8" max="8" width="14.57031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3" t="s">
        <v>22</v>
      </c>
    </row>
    <row r="3" spans="1:8" ht="18" customHeight="1" x14ac:dyDescent="0.25">
      <c r="B3" s="317" t="s">
        <v>23</v>
      </c>
      <c r="C3" s="317"/>
      <c r="D3" s="317"/>
      <c r="E3" s="26"/>
    </row>
    <row r="4" spans="1:8" x14ac:dyDescent="0.25">
      <c r="B4" s="6" t="s">
        <v>24</v>
      </c>
    </row>
    <row r="5" spans="1:8" x14ac:dyDescent="0.25">
      <c r="B5" s="6" t="s">
        <v>25</v>
      </c>
      <c r="H5" s="27"/>
    </row>
    <row r="6" spans="1:8" ht="16.5" customHeight="1" x14ac:dyDescent="0.25">
      <c r="A6" s="28">
        <v>245</v>
      </c>
      <c r="B6" s="29" t="s">
        <v>26</v>
      </c>
      <c r="C6" s="30">
        <f>A6+43465</f>
        <v>43710</v>
      </c>
      <c r="D6" s="31"/>
    </row>
    <row r="7" spans="1:8" ht="16.5" customHeight="1" x14ac:dyDescent="0.25">
      <c r="B7" s="29" t="s">
        <v>21</v>
      </c>
      <c r="C7" s="328">
        <f>C6</f>
        <v>43710</v>
      </c>
      <c r="D7" s="328"/>
    </row>
    <row r="8" spans="1:8" x14ac:dyDescent="0.25">
      <c r="B8" s="29" t="s">
        <v>19</v>
      </c>
      <c r="C8" s="32">
        <f>DAY(C6)</f>
        <v>2</v>
      </c>
      <c r="D8" s="33" t="s">
        <v>27</v>
      </c>
    </row>
    <row r="10" spans="1:8" ht="15" customHeight="1" x14ac:dyDescent="0.25">
      <c r="B10" s="34" t="s">
        <v>21</v>
      </c>
      <c r="C10" s="35" t="s">
        <v>19</v>
      </c>
      <c r="D10" s="34" t="s">
        <v>28</v>
      </c>
      <c r="F10" s="34" t="s">
        <v>21</v>
      </c>
      <c r="G10" s="35" t="s">
        <v>19</v>
      </c>
      <c r="H10" s="34" t="s">
        <v>28</v>
      </c>
    </row>
    <row r="11" spans="1:8" ht="15" customHeight="1" x14ac:dyDescent="0.25">
      <c r="B11" s="34" t="s">
        <v>29</v>
      </c>
      <c r="C11" s="35" t="s">
        <v>30</v>
      </c>
      <c r="D11" s="34" t="s">
        <v>31</v>
      </c>
      <c r="F11" s="34" t="s">
        <v>29</v>
      </c>
      <c r="G11" s="35" t="s">
        <v>30</v>
      </c>
      <c r="H11" s="34" t="s">
        <v>31</v>
      </c>
    </row>
    <row r="12" spans="1:8" ht="15.75" customHeight="1" x14ac:dyDescent="0.25">
      <c r="B12" s="36">
        <v>44060</v>
      </c>
      <c r="C12" s="37">
        <f>DAY(B12)</f>
        <v>17</v>
      </c>
      <c r="D12" s="38" t="str">
        <f ca="1">_xlfn.FORMULATEXT(C12)</f>
        <v>=DAY(B12)</v>
      </c>
      <c r="E12" s="39"/>
      <c r="F12" s="36">
        <f ca="1">TODAY()</f>
        <v>43614</v>
      </c>
      <c r="G12" s="37">
        <f ca="1">DAY(F12)</f>
        <v>29</v>
      </c>
      <c r="H12" s="38" t="str">
        <f ca="1">_xlfn.FORMULATEXT(F12)</f>
        <v>=TODAY()</v>
      </c>
    </row>
    <row r="13" spans="1:8" ht="15.75" customHeight="1" x14ac:dyDescent="0.25">
      <c r="B13" s="40">
        <v>44494</v>
      </c>
      <c r="C13" s="37">
        <f>DAY(B13)</f>
        <v>25</v>
      </c>
      <c r="D13" s="38" t="str">
        <f t="shared" ref="D13:D15" ca="1" si="0">_xlfn.FORMULATEXT(C13)</f>
        <v>=DAY(B13)</v>
      </c>
      <c r="E13" s="39"/>
      <c r="F13" s="40"/>
      <c r="G13" s="37">
        <f>DAY(43985)</f>
        <v>3</v>
      </c>
      <c r="H13" s="38" t="str">
        <f ca="1">_xlfn.FORMULATEXT(G13)</f>
        <v>=DAY(43985)</v>
      </c>
    </row>
    <row r="14" spans="1:8" ht="15.75" customHeight="1" x14ac:dyDescent="0.25">
      <c r="B14" s="40"/>
      <c r="C14" s="37">
        <f>DAY(42005)</f>
        <v>1</v>
      </c>
      <c r="D14" s="38" t="str">
        <f t="shared" ca="1" si="0"/>
        <v>=DAY(42005)</v>
      </c>
    </row>
    <row r="15" spans="1:8" ht="15.75" customHeight="1" x14ac:dyDescent="0.25">
      <c r="B15" s="40"/>
      <c r="C15" s="37">
        <f ca="1">DAY(TODAY())</f>
        <v>29</v>
      </c>
      <c r="D15" s="38" t="str">
        <f t="shared" ca="1" si="0"/>
        <v>=DAY(TODAY())</v>
      </c>
      <c r="E15" s="41" t="s">
        <v>32</v>
      </c>
    </row>
    <row r="16" spans="1:8" ht="19.5" customHeight="1" x14ac:dyDescent="0.25"/>
  </sheetData>
  <mergeCells count="2">
    <mergeCell ref="B3:D3"/>
    <mergeCell ref="C7:D7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5</xdr:row>
                    <xdr:rowOff>19050</xdr:rowOff>
                  </from>
                  <to>
                    <xdr:col>1</xdr:col>
                    <xdr:colOff>1076325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C6" sqref="C6"/>
    </sheetView>
  </sheetViews>
  <sheetFormatPr defaultRowHeight="15" x14ac:dyDescent="0.25"/>
  <cols>
    <col min="1" max="1" width="5.7109375" style="1" customWidth="1"/>
    <col min="2" max="2" width="17.85546875" style="1" customWidth="1"/>
    <col min="3" max="3" width="12.85546875" style="1" customWidth="1"/>
    <col min="4" max="4" width="19" style="1" customWidth="1"/>
    <col min="5" max="5" width="6" style="1" customWidth="1"/>
    <col min="6" max="6" width="17.85546875" style="1" customWidth="1"/>
    <col min="7" max="7" width="12.7109375" style="1" customWidth="1"/>
    <col min="8" max="8" width="18" style="1" customWidth="1"/>
    <col min="9" max="9" width="5.7109375" style="1" customWidth="1"/>
    <col min="10" max="16384" width="9.140625" style="1"/>
  </cols>
  <sheetData>
    <row r="1" spans="1:8" ht="19.5" customHeight="1" x14ac:dyDescent="0.25"/>
    <row r="2" spans="1:8" ht="18.75" x14ac:dyDescent="0.25">
      <c r="B2" s="3" t="s">
        <v>33</v>
      </c>
    </row>
    <row r="3" spans="1:8" ht="18" customHeight="1" x14ac:dyDescent="0.25">
      <c r="B3" s="317" t="s">
        <v>34</v>
      </c>
      <c r="C3" s="317"/>
      <c r="D3" s="317"/>
      <c r="E3" s="42"/>
    </row>
    <row r="4" spans="1:8" x14ac:dyDescent="0.25">
      <c r="B4" s="6" t="s">
        <v>35</v>
      </c>
    </row>
    <row r="5" spans="1:8" x14ac:dyDescent="0.25">
      <c r="B5" s="6" t="s">
        <v>25</v>
      </c>
    </row>
    <row r="6" spans="1:8" ht="16.5" customHeight="1" x14ac:dyDescent="0.25">
      <c r="A6" s="28">
        <v>586</v>
      </c>
      <c r="B6" s="29" t="s">
        <v>26</v>
      </c>
      <c r="C6" s="30">
        <f>A6+43465</f>
        <v>44051</v>
      </c>
      <c r="D6" s="31"/>
    </row>
    <row r="7" spans="1:8" ht="16.5" customHeight="1" x14ac:dyDescent="0.25">
      <c r="B7" s="29" t="s">
        <v>21</v>
      </c>
      <c r="C7" s="328">
        <f>C6</f>
        <v>44051</v>
      </c>
      <c r="D7" s="328"/>
    </row>
    <row r="8" spans="1:8" x14ac:dyDescent="0.25">
      <c r="B8" s="29" t="s">
        <v>19</v>
      </c>
      <c r="C8" s="32">
        <f>MONTH(C6)</f>
        <v>8</v>
      </c>
      <c r="D8" s="33" t="s">
        <v>36</v>
      </c>
    </row>
    <row r="10" spans="1:8" ht="15" customHeight="1" x14ac:dyDescent="0.25">
      <c r="B10" s="34" t="s">
        <v>21</v>
      </c>
      <c r="C10" s="35" t="s">
        <v>19</v>
      </c>
      <c r="D10" s="34" t="s">
        <v>28</v>
      </c>
      <c r="F10" s="34" t="s">
        <v>21</v>
      </c>
      <c r="G10" s="35" t="s">
        <v>19</v>
      </c>
      <c r="H10" s="34" t="s">
        <v>28</v>
      </c>
    </row>
    <row r="11" spans="1:8" ht="15" customHeight="1" x14ac:dyDescent="0.25">
      <c r="B11" s="34" t="s">
        <v>29</v>
      </c>
      <c r="C11" s="35" t="s">
        <v>37</v>
      </c>
      <c r="D11" s="34" t="s">
        <v>31</v>
      </c>
      <c r="F11" s="34" t="s">
        <v>29</v>
      </c>
      <c r="G11" s="35" t="s">
        <v>37</v>
      </c>
      <c r="H11" s="34" t="s">
        <v>31</v>
      </c>
    </row>
    <row r="12" spans="1:8" ht="15.75" customHeight="1" x14ac:dyDescent="0.25">
      <c r="B12" s="36">
        <v>44060</v>
      </c>
      <c r="C12" s="37">
        <f>MONTH(B12)</f>
        <v>8</v>
      </c>
      <c r="D12" s="38" t="str">
        <f ca="1">_xlfn.FORMULATEXT(C12)</f>
        <v>=MONTH(B12)</v>
      </c>
      <c r="E12" s="39"/>
      <c r="F12" s="36">
        <f ca="1">TODAY()</f>
        <v>43614</v>
      </c>
      <c r="G12" s="37">
        <f ca="1">MONTH(F12)</f>
        <v>5</v>
      </c>
      <c r="H12" s="38" t="str">
        <f ca="1">_xlfn.FORMULATEXT(F12)</f>
        <v>=TODAY()</v>
      </c>
    </row>
    <row r="13" spans="1:8" ht="15.75" customHeight="1" x14ac:dyDescent="0.25">
      <c r="B13" s="40">
        <v>44494</v>
      </c>
      <c r="C13" s="37">
        <f>MONTH(B13)</f>
        <v>10</v>
      </c>
      <c r="D13" s="38" t="str">
        <f t="shared" ref="D13:D15" ca="1" si="0">_xlfn.FORMULATEXT(C13)</f>
        <v>=MONTH(B13)</v>
      </c>
      <c r="E13" s="39"/>
      <c r="F13" s="40"/>
      <c r="G13" s="37">
        <f>MONTH(37985)</f>
        <v>12</v>
      </c>
      <c r="H13" s="38" t="str">
        <f ca="1">_xlfn.FORMULATEXT(G13)</f>
        <v>=MONTH(37985)</v>
      </c>
    </row>
    <row r="14" spans="1:8" ht="15.75" customHeight="1" x14ac:dyDescent="0.25">
      <c r="B14" s="40"/>
      <c r="C14" s="37">
        <f>MONTH(42005)</f>
        <v>1</v>
      </c>
      <c r="D14" s="38" t="str">
        <f t="shared" ca="1" si="0"/>
        <v>=MONTH(42005)</v>
      </c>
    </row>
    <row r="15" spans="1:8" ht="15.75" customHeight="1" x14ac:dyDescent="0.25">
      <c r="B15" s="40"/>
      <c r="C15" s="37">
        <f ca="1">MONTH(TODAY())</f>
        <v>5</v>
      </c>
      <c r="D15" s="38" t="str">
        <f t="shared" ca="1" si="0"/>
        <v>=MONTH(TODAY())</v>
      </c>
      <c r="E15" s="41" t="s">
        <v>32</v>
      </c>
    </row>
    <row r="16" spans="1:8" ht="19.5" customHeight="1" x14ac:dyDescent="0.25"/>
  </sheetData>
  <mergeCells count="2">
    <mergeCell ref="B3:D3"/>
    <mergeCell ref="C7:D7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5</xdr:row>
                    <xdr:rowOff>19050</xdr:rowOff>
                  </from>
                  <to>
                    <xdr:col>1</xdr:col>
                    <xdr:colOff>1076325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C6" sqref="C6"/>
    </sheetView>
  </sheetViews>
  <sheetFormatPr defaultRowHeight="15" x14ac:dyDescent="0.25"/>
  <cols>
    <col min="1" max="1" width="5.85546875" style="1" customWidth="1"/>
    <col min="2" max="2" width="17.85546875" style="1" customWidth="1"/>
    <col min="3" max="3" width="12.85546875" style="1" customWidth="1"/>
    <col min="4" max="4" width="19" style="1" customWidth="1"/>
    <col min="5" max="5" width="6" style="1" customWidth="1"/>
    <col min="6" max="6" width="17.85546875" style="1" customWidth="1"/>
    <col min="7" max="7" width="14.140625" style="1" customWidth="1"/>
    <col min="8" max="8" width="14.8554687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3" t="s">
        <v>38</v>
      </c>
    </row>
    <row r="3" spans="1:8" ht="18" customHeight="1" x14ac:dyDescent="0.25">
      <c r="B3" s="317" t="s">
        <v>39</v>
      </c>
      <c r="C3" s="317"/>
      <c r="D3" s="317"/>
      <c r="E3" s="42"/>
    </row>
    <row r="4" spans="1:8" x14ac:dyDescent="0.25">
      <c r="B4" s="6" t="s">
        <v>40</v>
      </c>
    </row>
    <row r="5" spans="1:8" x14ac:dyDescent="0.25">
      <c r="B5" s="6" t="s">
        <v>25</v>
      </c>
    </row>
    <row r="6" spans="1:8" ht="16.5" customHeight="1" x14ac:dyDescent="0.25">
      <c r="A6" s="28">
        <v>211</v>
      </c>
      <c r="B6" s="29" t="s">
        <v>26</v>
      </c>
      <c r="C6" s="30">
        <f>A6+43465</f>
        <v>43676</v>
      </c>
      <c r="D6" s="31"/>
    </row>
    <row r="7" spans="1:8" ht="16.5" customHeight="1" x14ac:dyDescent="0.25">
      <c r="B7" s="29" t="s">
        <v>21</v>
      </c>
      <c r="C7" s="328">
        <f>C6</f>
        <v>43676</v>
      </c>
      <c r="D7" s="328"/>
    </row>
    <row r="8" spans="1:8" x14ac:dyDescent="0.25">
      <c r="B8" s="29" t="s">
        <v>19</v>
      </c>
      <c r="C8" s="32">
        <f>YEAR(C6)</f>
        <v>2019</v>
      </c>
      <c r="D8" s="33" t="s">
        <v>41</v>
      </c>
    </row>
    <row r="10" spans="1:8" ht="15" customHeight="1" x14ac:dyDescent="0.25">
      <c r="B10" s="34" t="s">
        <v>21</v>
      </c>
      <c r="C10" s="35" t="s">
        <v>19</v>
      </c>
      <c r="D10" s="34" t="s">
        <v>28</v>
      </c>
      <c r="F10" s="34" t="s">
        <v>21</v>
      </c>
      <c r="G10" s="35" t="s">
        <v>19</v>
      </c>
      <c r="H10" s="34" t="s">
        <v>28</v>
      </c>
    </row>
    <row r="11" spans="1:8" ht="15" customHeight="1" x14ac:dyDescent="0.25">
      <c r="B11" s="34" t="s">
        <v>29</v>
      </c>
      <c r="C11" s="35" t="s">
        <v>42</v>
      </c>
      <c r="D11" s="34" t="s">
        <v>31</v>
      </c>
      <c r="F11" s="34" t="s">
        <v>29</v>
      </c>
      <c r="G11" s="35" t="s">
        <v>42</v>
      </c>
      <c r="H11" s="34" t="s">
        <v>31</v>
      </c>
    </row>
    <row r="12" spans="1:8" ht="15.75" customHeight="1" x14ac:dyDescent="0.25">
      <c r="B12" s="36">
        <v>44060</v>
      </c>
      <c r="C12" s="37">
        <f>YEAR(B12)</f>
        <v>2020</v>
      </c>
      <c r="D12" s="38" t="str">
        <f ca="1">_xlfn.FORMULATEXT(C12)</f>
        <v>=YEAR(B12)</v>
      </c>
      <c r="E12" s="39"/>
      <c r="F12" s="36">
        <v>44506</v>
      </c>
      <c r="G12" s="37">
        <f>YEAR(F12)</f>
        <v>2021</v>
      </c>
      <c r="H12" s="38" t="str">
        <f ca="1">_xlfn.FORMULATEXT(G12)</f>
        <v>=YEAR(F12)</v>
      </c>
    </row>
    <row r="13" spans="1:8" ht="15.75" customHeight="1" x14ac:dyDescent="0.25">
      <c r="B13" s="40">
        <v>45224</v>
      </c>
      <c r="C13" s="37">
        <f>YEAR(B13)</f>
        <v>2023</v>
      </c>
      <c r="D13" s="38" t="str">
        <f t="shared" ref="D13:D15" ca="1" si="0">_xlfn.FORMULATEXT(C13)</f>
        <v>=YEAR(B13)</v>
      </c>
      <c r="E13" s="39"/>
      <c r="F13" s="40"/>
      <c r="G13" s="37">
        <f>YEAR(45985)</f>
        <v>2025</v>
      </c>
      <c r="H13" s="38" t="str">
        <f ca="1">_xlfn.FORMULATEXT(G13)</f>
        <v>=YEAR(45985)</v>
      </c>
    </row>
    <row r="14" spans="1:8" ht="15.75" customHeight="1" x14ac:dyDescent="0.25">
      <c r="B14" s="40"/>
      <c r="C14" s="37">
        <f>YEAR(39005)</f>
        <v>2006</v>
      </c>
      <c r="D14" s="38" t="str">
        <f t="shared" ca="1" si="0"/>
        <v>=YEAR(39005)</v>
      </c>
    </row>
    <row r="15" spans="1:8" ht="15.75" customHeight="1" x14ac:dyDescent="0.25">
      <c r="B15" s="40"/>
      <c r="C15" s="37">
        <f ca="1">YEAR(TODAY())</f>
        <v>2019</v>
      </c>
      <c r="D15" s="38" t="str">
        <f t="shared" ca="1" si="0"/>
        <v>=YEAR(TODAY())</v>
      </c>
      <c r="E15" s="41" t="s">
        <v>32</v>
      </c>
    </row>
    <row r="16" spans="1:8" ht="19.5" customHeight="1" x14ac:dyDescent="0.25"/>
  </sheetData>
  <mergeCells count="2">
    <mergeCell ref="B3:D3"/>
    <mergeCell ref="C7:D7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1</xdr:col>
                    <xdr:colOff>590550</xdr:colOff>
                    <xdr:row>5</xdr:row>
                    <xdr:rowOff>19050</xdr:rowOff>
                  </from>
                  <to>
                    <xdr:col>1</xdr:col>
                    <xdr:colOff>1076325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MAX, MIN, AVERAGE, SUM</vt:lpstr>
      <vt:lpstr>FORMULATEXT</vt:lpstr>
      <vt:lpstr>COUNT dan COUNTA</vt:lpstr>
      <vt:lpstr>NOW dan TODAY</vt:lpstr>
      <vt:lpstr>EDATE dan EOMONTH</vt:lpstr>
      <vt:lpstr>DATE</vt:lpstr>
      <vt:lpstr>DAY</vt:lpstr>
      <vt:lpstr>MONTH</vt:lpstr>
      <vt:lpstr>YEAR</vt:lpstr>
      <vt:lpstr>HOUR</vt:lpstr>
      <vt:lpstr>MINUTE</vt:lpstr>
      <vt:lpstr>SECOND</vt:lpstr>
      <vt:lpstr>TIME</vt:lpstr>
      <vt:lpstr>UPPER, LOWER, PPOPER</vt:lpstr>
      <vt:lpstr>TEXT</vt:lpstr>
      <vt:lpstr>MOD</vt:lpstr>
      <vt:lpstr>CHOOSE</vt:lpstr>
      <vt:lpstr>CONVERT</vt:lpstr>
      <vt:lpstr>PMT dan IPMT</vt:lpstr>
      <vt:lpstr>RATE</vt:lpstr>
      <vt:lpstr>RANK</vt:lpstr>
      <vt:lpstr>MATCH</vt:lpstr>
      <vt:lpstr>OFFSET</vt:lpstr>
      <vt:lpstr>CHIINV</vt:lpstr>
      <vt:lpstr>'MAX, MIN, AVERAGE, SUM'!Transaksi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2019-05-26T03:38:38Z</dcterms:created>
  <dcterms:modified xsi:type="dcterms:W3CDTF">2019-05-29T07:52:20Z</dcterms:modified>
</cp:coreProperties>
</file>